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320" windowHeight="12975" activeTab="0"/>
  </bookViews>
  <sheets>
    <sheet name="Champ - Echantillonnage" sheetId="1" r:id="rId1"/>
    <sheet name="Tubes optiques" sheetId="2" r:id="rId2"/>
    <sheet name="Caméras" sheetId="3" r:id="rId3"/>
  </sheets>
  <definedNames>
    <definedName name="ASA">'Tubes optiques'!$B$2:$B$6</definedName>
    <definedName name="Astro_Tech">'Tubes optiques'!$B$16:$B$25</definedName>
    <definedName name="Astrophysics">'Tubes optiques'!$B$7:$B$15</definedName>
    <definedName name="ATIK">'Caméras'!$B$2:$B$8</definedName>
    <definedName name="Autre_Imageur">'Caméras'!$B$102</definedName>
    <definedName name="Autre_Optique">'Tubes optiques'!$B$133</definedName>
    <definedName name="Basler">'Caméras'!$B$9:$B$11</definedName>
    <definedName name="Canon">'Caméras'!$B$12:$B$36</definedName>
    <definedName name="Canon_">'Tubes optiques'!#REF!</definedName>
    <definedName name="Canon_Objectif">'Tubes optiques'!#REF!</definedName>
    <definedName name="Canon_Objectifs">'Tubes optiques'!$B$128:$B$132</definedName>
    <definedName name="Canon_Objectit">'Tubes optiques'!#REF!</definedName>
    <definedName name="Celestron">'Tubes optiques'!$B$26:$B$30</definedName>
    <definedName name="Couleur">'Tubes optiques'!#REF!</definedName>
    <definedName name="Divers">'Caméras'!$B$101</definedName>
    <definedName name="GSO">'Tubes optiques'!$B$31:$B$34</definedName>
    <definedName name="Imageur">#REF!</definedName>
    <definedName name="Instrument">#REF!</definedName>
    <definedName name="Lumenera">'Caméras'!$B$37:$B$39</definedName>
    <definedName name="Marque_Caméra">'Caméras'!#REF!</definedName>
    <definedName name="Marques">'Tubes optiques'!#REF!</definedName>
    <definedName name="Marques_Caméra">'Caméras'!#REF!</definedName>
    <definedName name="Marques_Caméras">'Caméras'!$A$105:$A$116</definedName>
    <definedName name="Marques_OTA">'Tubes optiques'!$A$136:$A$151</definedName>
    <definedName name="Meade">'Tubes optiques'!$B$35:$B$42</definedName>
    <definedName name="Nikon">'Caméras'!$B$40:$B$62</definedName>
    <definedName name="Nova_CCD">'Caméras'!$B$84:$B$89</definedName>
    <definedName name="Officina_Stellare">'Tubes optiques'!$B$43:$B$58</definedName>
    <definedName name="Orion">'Tubes optiques'!$B$59:$B$67</definedName>
    <definedName name="QSI">'Caméras'!$B$63:$B$68</definedName>
    <definedName name="SBIG">'Caméras'!$B$69:$B$83</definedName>
    <definedName name="Starlight_Xpress">'Caméras'!$B$90:$B$96</definedName>
    <definedName name="Takahashi">'Tubes optiques'!$B$68:$B$92</definedName>
    <definedName name="TEC">'Tubes optiques'!$B$93:$B$96</definedName>
    <definedName name="Televue">'Tubes optiques'!$B$97:$B$102</definedName>
    <definedName name="The_Imaging_Source">'Caméras'!$B$97:$B$100</definedName>
    <definedName name="TMB">'Tubes optiques'!$B$103:$B$105</definedName>
    <definedName name="Vixen">'Tubes optiques'!$B$106:$B$119</definedName>
    <definedName name="William_Optics">'Tubes optiques'!$B$120:$B$127</definedName>
    <definedName name="λ">'Tubes optiques'!$H$2:$H$12</definedName>
  </definedNames>
  <calcPr fullCalcOnLoad="1"/>
</workbook>
</file>

<file path=xl/sharedStrings.xml><?xml version="1.0" encoding="utf-8"?>
<sst xmlns="http://schemas.openxmlformats.org/spreadsheetml/2006/main" count="717" uniqueCount="482">
  <si>
    <t>Marque</t>
  </si>
  <si>
    <t>Modèle</t>
  </si>
  <si>
    <t>Capteur</t>
  </si>
  <si>
    <t>Type</t>
  </si>
  <si>
    <t>Largeur (mm)</t>
  </si>
  <si>
    <t>Hauteur (mm)</t>
  </si>
  <si>
    <t>Largeur (pixels)</t>
  </si>
  <si>
    <t>Hauteur (pixels)</t>
  </si>
  <si>
    <t>Cadence (im/s)</t>
  </si>
  <si>
    <t>Numérisation (bits)</t>
  </si>
  <si>
    <t>Bruit de lecture</t>
  </si>
  <si>
    <t>Courant d'obscurité à 0°C</t>
  </si>
  <si>
    <t>Temps de chargement d'une image</t>
  </si>
  <si>
    <t>Capacité des pixels</t>
  </si>
  <si>
    <t>Refroidissement</t>
  </si>
  <si>
    <t>ATIK</t>
  </si>
  <si>
    <t>314L</t>
  </si>
  <si>
    <t>Sony ICX285AL</t>
  </si>
  <si>
    <t>CCD</t>
  </si>
  <si>
    <t>4 e- rms</t>
  </si>
  <si>
    <t>ΔT - 25°C</t>
  </si>
  <si>
    <t>320E</t>
  </si>
  <si>
    <t>Sony ICX274AL</t>
  </si>
  <si>
    <t>3 e- rms</t>
  </si>
  <si>
    <t>383L+</t>
  </si>
  <si>
    <t>Kodak KAF-8300</t>
  </si>
  <si>
    <t>7 e- rms</t>
  </si>
  <si>
    <t>ΔT -40°C</t>
  </si>
  <si>
    <t>Kodak KAI-4022</t>
  </si>
  <si>
    <t>11 e- rms</t>
  </si>
  <si>
    <t>0,01 e-/s à -20°C</t>
  </si>
  <si>
    <t>40000 e-</t>
  </si>
  <si>
    <t>4000LE</t>
  </si>
  <si>
    <t>ΔT -33°C</t>
  </si>
  <si>
    <t>Kodak KAI 11002</t>
  </si>
  <si>
    <t>13 e- rms</t>
  </si>
  <si>
    <t>0,03 e-/s à -20°C</t>
  </si>
  <si>
    <t>60000 e-</t>
  </si>
  <si>
    <t>ΔT -38°C</t>
  </si>
  <si>
    <t>Titan</t>
  </si>
  <si>
    <t>Sony ICX424</t>
  </si>
  <si>
    <t>ΔT - 20°C</t>
  </si>
  <si>
    <t>Basler</t>
  </si>
  <si>
    <t>acA640-100gm</t>
  </si>
  <si>
    <t>Sony ICX618</t>
  </si>
  <si>
    <t>102 / 122</t>
  </si>
  <si>
    <t>10,6 bits</t>
  </si>
  <si>
    <t>acA1300-30gm</t>
  </si>
  <si>
    <t>Sony ICX445</t>
  </si>
  <si>
    <t>9,5 bits</t>
  </si>
  <si>
    <t>acA1600-20gm</t>
  </si>
  <si>
    <t>Sony ICX274</t>
  </si>
  <si>
    <t>10,1 bits</t>
  </si>
  <si>
    <t>Lumenera</t>
  </si>
  <si>
    <t>SKYnyx 2,0</t>
  </si>
  <si>
    <t>8 ou 12</t>
  </si>
  <si>
    <t>SKYnyx 2,1</t>
  </si>
  <si>
    <t>Sony ICX205</t>
  </si>
  <si>
    <t>SKYnyx 2,2</t>
  </si>
  <si>
    <t>QSI</t>
  </si>
  <si>
    <t>70 dB</t>
  </si>
  <si>
    <t>8 e-</t>
  </si>
  <si>
    <t>0,02 e-/s à -10°C</t>
  </si>
  <si>
    <t>&lt; 21 s</t>
  </si>
  <si>
    <t>25500 e-</t>
  </si>
  <si>
    <t>ΔT - 38°C</t>
  </si>
  <si>
    <t>74 dB</t>
  </si>
  <si>
    <t>&lt; 8 e-</t>
  </si>
  <si>
    <t>0,1 e-/s à 0°C</t>
  </si>
  <si>
    <t>&lt; 11 s</t>
  </si>
  <si>
    <t>Kodak KAF-3200</t>
  </si>
  <si>
    <t>77 dB</t>
  </si>
  <si>
    <t>7 e-</t>
  </si>
  <si>
    <t>0,5 e-/s à 0°C</t>
  </si>
  <si>
    <t>&lt; 8 s</t>
  </si>
  <si>
    <t>55000 e-</t>
  </si>
  <si>
    <t>Kodak KAI-2020</t>
  </si>
  <si>
    <t>&lt; 5 s</t>
  </si>
  <si>
    <t>45000 e-</t>
  </si>
  <si>
    <t>Kodak KAF-1603</t>
  </si>
  <si>
    <t>76 dB</t>
  </si>
  <si>
    <t>15 e-</t>
  </si>
  <si>
    <t>1 e-/s à 0°C</t>
  </si>
  <si>
    <t>&lt; 4 s</t>
  </si>
  <si>
    <t>100000 e-</t>
  </si>
  <si>
    <t>Kodak KAF-0402</t>
  </si>
  <si>
    <t>&lt; 1 s</t>
  </si>
  <si>
    <t>SBIG</t>
  </si>
  <si>
    <t>ST-402</t>
  </si>
  <si>
    <t>Kodak KAF-0402ME</t>
  </si>
  <si>
    <t>17 e-</t>
  </si>
  <si>
    <t>1 e-/s  à 0°C</t>
  </si>
  <si>
    <t xml:space="preserve">&lt; 1 s </t>
  </si>
  <si>
    <t>ST-7</t>
  </si>
  <si>
    <t>15e-</t>
  </si>
  <si>
    <t xml:space="preserve">1 s. </t>
  </si>
  <si>
    <t>ST-8</t>
  </si>
  <si>
    <t>Kodak KAF-1603ME</t>
  </si>
  <si>
    <t xml:space="preserve">4 s. </t>
  </si>
  <si>
    <t>ST-9</t>
  </si>
  <si>
    <t>Kodak KAF-0261E</t>
  </si>
  <si>
    <t>5 e-/s  à 0°C</t>
  </si>
  <si>
    <t xml:space="preserve">&lt; 1 s. </t>
  </si>
  <si>
    <t>ST-10</t>
  </si>
  <si>
    <t>Kodak KAF-3200ME</t>
  </si>
  <si>
    <t>8.8 e-</t>
  </si>
  <si>
    <t xml:space="preserve">8 s. </t>
  </si>
  <si>
    <t>ST-1603</t>
  </si>
  <si>
    <t xml:space="preserve">2 s. </t>
  </si>
  <si>
    <t>ST-2000</t>
  </si>
  <si>
    <t>Kodak KAI-2020M</t>
  </si>
  <si>
    <t>7.9 e-</t>
  </si>
  <si>
    <t>0.3 e-/s  à 0°C</t>
  </si>
  <si>
    <t xml:space="preserve">4.5 s. </t>
  </si>
  <si>
    <t>ST-3200</t>
  </si>
  <si>
    <t>10 e-</t>
  </si>
  <si>
    <t>ST-8300</t>
  </si>
  <si>
    <t>9.3 e-</t>
  </si>
  <si>
    <t xml:space="preserve">7.5 s. </t>
  </si>
  <si>
    <t>STL-1001</t>
  </si>
  <si>
    <t>Kodak KAF-1001E</t>
  </si>
  <si>
    <t xml:space="preserve">15 e- </t>
  </si>
  <si>
    <t>9 e-/s  à 0°C</t>
  </si>
  <si>
    <t xml:space="preserve">2.5 s. </t>
  </si>
  <si>
    <t>STL-11000</t>
  </si>
  <si>
    <t>Kodak KAI-11002M</t>
  </si>
  <si>
    <t>13 e-</t>
  </si>
  <si>
    <t>0.5 e-/s  à 0°C</t>
  </si>
  <si>
    <t xml:space="preserve">26 s. </t>
  </si>
  <si>
    <t>STL-4020</t>
  </si>
  <si>
    <t>Kodak KAI-4022M</t>
  </si>
  <si>
    <t>0.07 e-/s  à 0°C</t>
  </si>
  <si>
    <t xml:space="preserve">10 s. </t>
  </si>
  <si>
    <t>STL-6303</t>
  </si>
  <si>
    <t>Kodak KAF-6303E</t>
  </si>
  <si>
    <t>13.5 e-</t>
  </si>
  <si>
    <t xml:space="preserve">16 s. </t>
  </si>
  <si>
    <t>STX-16803</t>
  </si>
  <si>
    <t>Kodak KAF-16803</t>
  </si>
  <si>
    <t>9 e-</t>
  </si>
  <si>
    <t>0.2 e-/s  à 0°C</t>
  </si>
  <si>
    <t xml:space="preserve">11.5 s. </t>
  </si>
  <si>
    <t>STL Remote Guider</t>
  </si>
  <si>
    <t>Kodak TC-237H</t>
  </si>
  <si>
    <t>15 e-/s  à 0°C</t>
  </si>
  <si>
    <t>Nova-CCD</t>
  </si>
  <si>
    <t>Sigma-16</t>
  </si>
  <si>
    <t>Kodak KAF1603ME</t>
  </si>
  <si>
    <t>12 e-</t>
  </si>
  <si>
    <t>1,2 e-/s à 0°C</t>
  </si>
  <si>
    <t>3,9 s</t>
  </si>
  <si>
    <t>Sigma-32</t>
  </si>
  <si>
    <t>Kodak KAF3200ME</t>
  </si>
  <si>
    <t>0,8 e-/s à 0°C</t>
  </si>
  <si>
    <t>7,8 s</t>
  </si>
  <si>
    <t>Sigma-63</t>
  </si>
  <si>
    <t>Kodak KAF6303E</t>
  </si>
  <si>
    <t>1,0 e-/s à 0°C</t>
  </si>
  <si>
    <t>15 s</t>
  </si>
  <si>
    <t>Sigma-20</t>
  </si>
  <si>
    <t>Kodak KAI2020</t>
  </si>
  <si>
    <t>Sigma-40</t>
  </si>
  <si>
    <t>Kodak KAI4022</t>
  </si>
  <si>
    <t>Sigma-83</t>
  </si>
  <si>
    <t>Kodak KAF8300</t>
  </si>
  <si>
    <t>0,15 e-/s à 0°C</t>
  </si>
  <si>
    <t>20,2 s</t>
  </si>
  <si>
    <t>25000 e-</t>
  </si>
  <si>
    <t>Starlight Xpress</t>
  </si>
  <si>
    <t>SXVF-H5</t>
  </si>
  <si>
    <t>&lt; 13 e- rms</t>
  </si>
  <si>
    <t>0,02 e-/s à +10°C</t>
  </si>
  <si>
    <t>0,3 s</t>
  </si>
  <si>
    <t>30000 e-</t>
  </si>
  <si>
    <t>ΔT - 30°C</t>
  </si>
  <si>
    <t>SXVR-H9</t>
  </si>
  <si>
    <t>&lt; 7 e- rms</t>
  </si>
  <si>
    <t>0,6 s</t>
  </si>
  <si>
    <t>23000 e-</t>
  </si>
  <si>
    <t>SXV-H16</t>
  </si>
  <si>
    <t>Kodak KAI4021M</t>
  </si>
  <si>
    <t>&lt; 10 e- rms</t>
  </si>
  <si>
    <t>0,05 e-/s à +10°C</t>
  </si>
  <si>
    <t>2,5 s</t>
  </si>
  <si>
    <t>ΔT - 40°C</t>
  </si>
  <si>
    <t>SXVR-H18</t>
  </si>
  <si>
    <t>&lt; 8 e- rms</t>
  </si>
  <si>
    <t>4,5 s</t>
  </si>
  <si>
    <t>SXVF-H35</t>
  </si>
  <si>
    <t>&lt; 15 e- rms</t>
  </si>
  <si>
    <t>0,08 e-/s à +10°C</t>
  </si>
  <si>
    <t>7 s</t>
  </si>
  <si>
    <t>50000 e-</t>
  </si>
  <si>
    <t>SXVF-H36</t>
  </si>
  <si>
    <t>Kodak KAI-16000M</t>
  </si>
  <si>
    <t>&lt; 12 e- rms</t>
  </si>
  <si>
    <t>Loadstar</t>
  </si>
  <si>
    <t>Sony ICX429AL</t>
  </si>
  <si>
    <t>8,2×8,4</t>
  </si>
  <si>
    <t>0,1 e-/s à +10°C</t>
  </si>
  <si>
    <t>0,2 s</t>
  </si>
  <si>
    <t>The Imaginig Source</t>
  </si>
  <si>
    <t>DMK 21</t>
  </si>
  <si>
    <t>Sony ICX098</t>
  </si>
  <si>
    <t>DMK 31</t>
  </si>
  <si>
    <t>Sony ICX204</t>
  </si>
  <si>
    <t>DMK 41</t>
  </si>
  <si>
    <t>DMK 51</t>
  </si>
  <si>
    <t>Divers</t>
  </si>
  <si>
    <t>PL1-M ; QHY5 ; Starshoot autooguider</t>
  </si>
  <si>
    <t>MT9M001</t>
  </si>
  <si>
    <t>CMOS</t>
  </si>
  <si>
    <t>Ø (mm)</t>
  </si>
  <si>
    <t>F (mm)</t>
  </si>
  <si>
    <t>F/D</t>
  </si>
  <si>
    <t>ASA</t>
  </si>
  <si>
    <t>8N-OK3</t>
  </si>
  <si>
    <t>10N-OK3</t>
  </si>
  <si>
    <t>12N-OK3</t>
  </si>
  <si>
    <t>16N-OK3</t>
  </si>
  <si>
    <t>20N-OK3</t>
  </si>
  <si>
    <t>Astrophysics</t>
  </si>
  <si>
    <t>160-EDF</t>
  </si>
  <si>
    <t>140-EDF</t>
  </si>
  <si>
    <t>130-EDF "Gran Turismo"</t>
  </si>
  <si>
    <t>155-EDT</t>
  </si>
  <si>
    <t>155-EDF</t>
  </si>
  <si>
    <t>130-EDFS</t>
  </si>
  <si>
    <t>130-EDT</t>
  </si>
  <si>
    <t>105-EDFS "Traveller"</t>
  </si>
  <si>
    <t>Riccardi-Honders-305mm</t>
  </si>
  <si>
    <t>Celestron</t>
  </si>
  <si>
    <t>Meade</t>
  </si>
  <si>
    <t>LX200-8"</t>
  </si>
  <si>
    <t>LX200-10"</t>
  </si>
  <si>
    <t>LX200-12"</t>
  </si>
  <si>
    <t>LX200-14"</t>
  </si>
  <si>
    <t>LX200-16"</t>
  </si>
  <si>
    <t>LX90-8"</t>
  </si>
  <si>
    <t>LX90-10"</t>
  </si>
  <si>
    <t>LX90-12"</t>
  </si>
  <si>
    <t>Orion</t>
  </si>
  <si>
    <t>80-ED</t>
  </si>
  <si>
    <t>ED-80T</t>
  </si>
  <si>
    <t>100-ED</t>
  </si>
  <si>
    <t>ED-102T</t>
  </si>
  <si>
    <t>10" F/3.9</t>
  </si>
  <si>
    <t>Mak-90</t>
  </si>
  <si>
    <t>Mak-102</t>
  </si>
  <si>
    <t>Mak-127</t>
  </si>
  <si>
    <t>Mak-150</t>
  </si>
  <si>
    <t>Takahashi</t>
  </si>
  <si>
    <t>FS-60</t>
  </si>
  <si>
    <t>Sky 90</t>
  </si>
  <si>
    <t>FS-102</t>
  </si>
  <si>
    <t>FS-128</t>
  </si>
  <si>
    <t>FS-152</t>
  </si>
  <si>
    <t>FSQ-85</t>
  </si>
  <si>
    <t>FSQ-106</t>
  </si>
  <si>
    <t>TSA-102</t>
  </si>
  <si>
    <t>TSA-120</t>
  </si>
  <si>
    <t>TOA-130</t>
  </si>
  <si>
    <t>TOA-150</t>
  </si>
  <si>
    <t>ε-130</t>
  </si>
  <si>
    <t>ε-160</t>
  </si>
  <si>
    <t>ε-180</t>
  </si>
  <si>
    <t>ε-200</t>
  </si>
  <si>
    <t>ε-210</t>
  </si>
  <si>
    <t>ε-250</t>
  </si>
  <si>
    <t>ε-300</t>
  </si>
  <si>
    <t>ε-350</t>
  </si>
  <si>
    <t>Mewlon 180</t>
  </si>
  <si>
    <t>Mewlon 210</t>
  </si>
  <si>
    <t>Mewlon 250</t>
  </si>
  <si>
    <t>Mewlon 300</t>
  </si>
  <si>
    <t>BRC-250</t>
  </si>
  <si>
    <t>CN-212</t>
  </si>
  <si>
    <t>TEC</t>
  </si>
  <si>
    <t>140-ED</t>
  </si>
  <si>
    <t>160-ED</t>
  </si>
  <si>
    <t>160-Fluorite</t>
  </si>
  <si>
    <t>180-Fluorite</t>
  </si>
  <si>
    <t>Televue</t>
  </si>
  <si>
    <t>TMB</t>
  </si>
  <si>
    <t>80SS</t>
  </si>
  <si>
    <t>92SS</t>
  </si>
  <si>
    <t>130SS</t>
  </si>
  <si>
    <t>Vixen</t>
  </si>
  <si>
    <t>ED80Sf</t>
  </si>
  <si>
    <t>ED81SWT</t>
  </si>
  <si>
    <t>ED100Sf</t>
  </si>
  <si>
    <t>ED103S</t>
  </si>
  <si>
    <t>ED115S</t>
  </si>
  <si>
    <t>NA140</t>
  </si>
  <si>
    <t>R130SF</t>
  </si>
  <si>
    <t>R200SS</t>
  </si>
  <si>
    <t>VMC95L</t>
  </si>
  <si>
    <t>VMC110L</t>
  </si>
  <si>
    <t>VMC200L</t>
  </si>
  <si>
    <t>VC200L</t>
  </si>
  <si>
    <t>VMC260L</t>
  </si>
  <si>
    <t>VMC330L</t>
  </si>
  <si>
    <t>William Optics</t>
  </si>
  <si>
    <t>Canon</t>
  </si>
  <si>
    <t>300:4</t>
  </si>
  <si>
    <t>9 ou 12</t>
  </si>
  <si>
    <t>10 ou 12</t>
  </si>
  <si>
    <t>En rouge : les résultats</t>
  </si>
  <si>
    <t>Calcul du champ photo et de l'échantillonnage</t>
  </si>
  <si>
    <t>Tube optique</t>
  </si>
  <si>
    <t>Imageur</t>
  </si>
  <si>
    <t>Champ ( ° ' " )</t>
  </si>
  <si>
    <t>Ech.
("/pixel)</t>
  </si>
  <si>
    <t>Largeur</t>
  </si>
  <si>
    <t>Hauteur</t>
  </si>
  <si>
    <t>Diagonale</t>
  </si>
  <si>
    <t>Diamètre</t>
  </si>
  <si>
    <t>Focale</t>
  </si>
  <si>
    <t>Résolution</t>
  </si>
  <si>
    <t>Photosites</t>
  </si>
  <si>
    <t>L (mm)</t>
  </si>
  <si>
    <t>H (mm)</t>
  </si>
  <si>
    <t>Mégapixels</t>
  </si>
  <si>
    <t>Cadence</t>
  </si>
  <si>
    <t>Dynamique réelle</t>
  </si>
  <si>
    <t>Numérisation</t>
  </si>
  <si>
    <t>Courant d'obscurité</t>
  </si>
  <si>
    <t>Temps de chargement</t>
  </si>
  <si>
    <t>Taille d'un objet</t>
  </si>
  <si>
    <t>Pixels (µm)</t>
  </si>
  <si>
    <t>°</t>
  </si>
  <si>
    <t>'</t>
  </si>
  <si>
    <t>"</t>
  </si>
  <si>
    <t>(pixels)</t>
  </si>
  <si>
    <t>Liste des marques</t>
  </si>
  <si>
    <t>EOS 10D</t>
  </si>
  <si>
    <t>Canon_Objectifs</t>
  </si>
  <si>
    <t>Photosites (µm)</t>
  </si>
  <si>
    <t>Dynamique</t>
  </si>
  <si>
    <t>Nikon</t>
  </si>
  <si>
    <t>EOS 1000D</t>
  </si>
  <si>
    <t>EOS 1100D</t>
  </si>
  <si>
    <t>EOS 300D</t>
  </si>
  <si>
    <t>EOS 350D</t>
  </si>
  <si>
    <t>EOS 400D</t>
  </si>
  <si>
    <t>EOS 450D</t>
  </si>
  <si>
    <t>EOS 500D</t>
  </si>
  <si>
    <t>EOS 550D</t>
  </si>
  <si>
    <t>EOS 600D</t>
  </si>
  <si>
    <t>EOS 20D</t>
  </si>
  <si>
    <t>EOS 30D</t>
  </si>
  <si>
    <t>EOS 40D</t>
  </si>
  <si>
    <t>EOS 50D</t>
  </si>
  <si>
    <t>EOS 60D</t>
  </si>
  <si>
    <t>EOS 7D</t>
  </si>
  <si>
    <t>EOS 5D</t>
  </si>
  <si>
    <t>EOS 5D MkII</t>
  </si>
  <si>
    <t>EOS 1D</t>
  </si>
  <si>
    <t>EOS 1D MkII</t>
  </si>
  <si>
    <t>EOS 1D MkIII</t>
  </si>
  <si>
    <t>EOS 1Ds</t>
  </si>
  <si>
    <t>EOS 1Ds MkII</t>
  </si>
  <si>
    <t>EOS 1Ds MkIII</t>
  </si>
  <si>
    <t>EOS 1D MkIV</t>
  </si>
  <si>
    <t>D40</t>
  </si>
  <si>
    <t>D3000</t>
  </si>
  <si>
    <t>D3100</t>
  </si>
  <si>
    <t>D50</t>
  </si>
  <si>
    <t>D60</t>
  </si>
  <si>
    <t>D40X</t>
  </si>
  <si>
    <t>D5000</t>
  </si>
  <si>
    <t>D5100</t>
  </si>
  <si>
    <t>D80</t>
  </si>
  <si>
    <t>D90</t>
  </si>
  <si>
    <t>D7000</t>
  </si>
  <si>
    <t>D100</t>
  </si>
  <si>
    <t>D200</t>
  </si>
  <si>
    <t>D700</t>
  </si>
  <si>
    <t>D1H</t>
  </si>
  <si>
    <t>D1</t>
  </si>
  <si>
    <t>D1x</t>
  </si>
  <si>
    <t>D3X</t>
  </si>
  <si>
    <t>D2H / D2Hs</t>
  </si>
  <si>
    <t>Sony</t>
  </si>
  <si>
    <t>D2x / D2Xs</t>
  </si>
  <si>
    <t>LBCAST</t>
  </si>
  <si>
    <t>D3 / D3S</t>
  </si>
  <si>
    <t>D300 / D300s</t>
  </si>
  <si>
    <t>D70 / D70s</t>
  </si>
  <si>
    <t>ΔT -35°C</t>
  </si>
  <si>
    <t>ΔT -32°C</t>
  </si>
  <si>
    <t>ΔT -50°C</t>
  </si>
  <si>
    <t>© Axel VINCENT AVEX2011</t>
  </si>
  <si>
    <t>24-70:2,8 (24)</t>
  </si>
  <si>
    <t>24-70:2,8 (70)</t>
  </si>
  <si>
    <t>200:2,8</t>
  </si>
  <si>
    <t>100:2,9</t>
  </si>
  <si>
    <t>William_Optics</t>
  </si>
  <si>
    <t>TV 76</t>
  </si>
  <si>
    <t>TV 85</t>
  </si>
  <si>
    <t>TV 60 / TV 60is</t>
  </si>
  <si>
    <t>C8</t>
  </si>
  <si>
    <t>C9</t>
  </si>
  <si>
    <t>C11</t>
  </si>
  <si>
    <t>C14</t>
  </si>
  <si>
    <t>TV NP-101 / TV NP-101is</t>
  </si>
  <si>
    <t>TV 102 / TV 102is</t>
  </si>
  <si>
    <t>TV NP127is</t>
  </si>
  <si>
    <t>Megrez 72</t>
  </si>
  <si>
    <t>Megrez 90 APO</t>
  </si>
  <si>
    <t>FLT98 APO</t>
  </si>
  <si>
    <t>Zenithstar 80 APO</t>
  </si>
  <si>
    <t>FLT110 (Optique TMB)</t>
  </si>
  <si>
    <t>Megrez 120</t>
  </si>
  <si>
    <t>FLT 132</t>
  </si>
  <si>
    <t>Triplet APO 80/480</t>
  </si>
  <si>
    <t>Atro-Tech</t>
  </si>
  <si>
    <t>AT80LE</t>
  </si>
  <si>
    <t>ONYX 80ED</t>
  </si>
  <si>
    <t>AT65EDQ</t>
  </si>
  <si>
    <t>AT72ED</t>
  </si>
  <si>
    <t>AT90EDT</t>
  </si>
  <si>
    <t>AT106</t>
  </si>
  <si>
    <t>AT111EDT</t>
  </si>
  <si>
    <t>AT130</t>
  </si>
  <si>
    <t>RC 8"</t>
  </si>
  <si>
    <t>RC 10"</t>
  </si>
  <si>
    <t>RC 12"</t>
  </si>
  <si>
    <t>RC 6"</t>
  </si>
  <si>
    <t>Officina Stellare</t>
  </si>
  <si>
    <t>Officina_Stellare</t>
  </si>
  <si>
    <t>Astro_Tech</t>
  </si>
  <si>
    <t>HIPER APO 80</t>
  </si>
  <si>
    <t>HIPER APO 105</t>
  </si>
  <si>
    <t>HIPER APO 115</t>
  </si>
  <si>
    <t>HIPER APO 130</t>
  </si>
  <si>
    <t>HIPER APO 152</t>
  </si>
  <si>
    <t>HIPER APO 180</t>
  </si>
  <si>
    <t>ULTRA CRC 320 ST</t>
  </si>
  <si>
    <t>VELOCE RH 200</t>
  </si>
  <si>
    <t>SUPREMO 250</t>
  </si>
  <si>
    <t>PRO RC 250</t>
  </si>
  <si>
    <t>PRO RC 320 ST</t>
  </si>
  <si>
    <t>PRO RC 360 LT/ST</t>
  </si>
  <si>
    <t>PRO RC 400 LT/ST</t>
  </si>
  <si>
    <t>VELOCE RH 300</t>
  </si>
  <si>
    <t>GSO</t>
  </si>
  <si>
    <t>Echantillonnage idéal</t>
  </si>
  <si>
    <t>Echantillonnage actuel</t>
  </si>
  <si>
    <t>Calcul de champ et d'échantillonage AVEX</t>
  </si>
  <si>
    <t>Mode d'emploi :</t>
  </si>
  <si>
    <t>Barlow - Réducteur
(×)</t>
  </si>
  <si>
    <t>En bleu : les champs à renseigner (liste déroulante ou valeurs à saisir)</t>
  </si>
  <si>
    <t>Turbulence
(")</t>
  </si>
  <si>
    <r>
      <t>2) Dans la case "</t>
    </r>
    <r>
      <rPr>
        <b/>
        <sz val="10"/>
        <rFont val="Arial"/>
        <family val="2"/>
      </rPr>
      <t>Barlow - Réducteur</t>
    </r>
    <r>
      <rPr>
        <sz val="10"/>
        <rFont val="Arial"/>
        <family val="2"/>
      </rPr>
      <t>", saisir au clavier la valeur du coefficient qui va bien (mettre 1 si aucun complément optique n'est utilisé).</t>
    </r>
  </si>
  <si>
    <r>
      <t xml:space="preserve">1) Sélectionner </t>
    </r>
    <r>
      <rPr>
        <b/>
        <sz val="10"/>
        <rFont val="Arial"/>
        <family val="2"/>
      </rPr>
      <t>Marque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Modèle</t>
    </r>
    <r>
      <rPr>
        <sz val="10"/>
        <rFont val="Arial"/>
        <family val="2"/>
      </rPr>
      <t xml:space="preserve"> de tube optique et d'imageur au moyen des menus déroulants (cliquer dans les cases idoines pour que les ascenceurs apparaissent).</t>
    </r>
  </si>
  <si>
    <t>λ (nm)</t>
  </si>
  <si>
    <t>Longueur d'onde
considérée</t>
  </si>
  <si>
    <t>Le calcul de l'échantillonnage idéal est fait en appliquant le théorème d'échantillonnage de Nyquist-Shannon à partir du paramètre limitant (résolution instrumentale ou turbulence).</t>
  </si>
  <si>
    <t>Imagerie du ciel profond : amplitude typiquement comprise entre 2" et 4" sur des poses de quelques minutes.</t>
  </si>
  <si>
    <r>
      <t>Imagerie planétaire : amplitude typiquement comprise entre 0,5" et 2" sur un temps de pose généralement inférieur à 0,1 s</t>
    </r>
    <r>
      <rPr>
        <sz val="10"/>
        <color indexed="55"/>
        <rFont val="Arial"/>
        <family val="2"/>
      </rPr>
      <t xml:space="preserve"> (cadence &gt; 10 images/s).</t>
    </r>
  </si>
  <si>
    <t>Vert (550 nm)</t>
  </si>
  <si>
    <t>Valeur utilisateur</t>
  </si>
  <si>
    <t>Choix couleur</t>
  </si>
  <si>
    <t>Starlight_Xpress</t>
  </si>
  <si>
    <t>The_Imaging_Source</t>
  </si>
  <si>
    <r>
      <t>4) Dans la case "</t>
    </r>
    <r>
      <rPr>
        <b/>
        <sz val="10"/>
        <rFont val="Arial"/>
        <family val="2"/>
      </rPr>
      <t>Turbulence</t>
    </r>
    <r>
      <rPr>
        <sz val="10"/>
        <rFont val="Arial"/>
        <family val="2"/>
      </rPr>
      <t xml:space="preserve">", saisir la valeur correspondant à l'amplitude de la turbulence intégrée sur la durée de la pose </t>
    </r>
    <r>
      <rPr>
        <sz val="10"/>
        <color indexed="55"/>
        <rFont val="Arial"/>
        <family val="2"/>
      </rPr>
      <t>(dépend du lieu et des conditions atmosphérique du moment)</t>
    </r>
    <r>
      <rPr>
        <sz val="10"/>
        <rFont val="Arial"/>
        <family val="2"/>
      </rPr>
      <t xml:space="preserve"> :</t>
    </r>
  </si>
  <si>
    <t>3) Sélectionner la longueur d'onde de la lumière utilisée.</t>
  </si>
  <si>
    <r>
      <t xml:space="preserve">3) </t>
    </r>
    <r>
      <rPr>
        <sz val="10"/>
        <rFont val="Arial"/>
        <family val="2"/>
      </rPr>
      <t>La résolution de l'instrument et l'amplitude de la turbulence dépendent de ce paramètre.</t>
    </r>
  </si>
  <si>
    <r>
      <t xml:space="preserve">3) </t>
    </r>
    <r>
      <rPr>
        <sz val="10"/>
        <rFont val="Arial"/>
        <family val="2"/>
      </rPr>
      <t>La valeur généralement prise par défaut est le vert à 550 nm. En cas d'utilisation de filtres colorés, sélectionner la longueur d'onde idoine. L'utilisateur peut aussi choisir une longueur d'ondeUn valeur utilisateur peut être utilisée (rensieigner la case D29)</t>
    </r>
  </si>
  <si>
    <t>Autre</t>
  </si>
  <si>
    <t>Valeurs utilisateur</t>
  </si>
  <si>
    <t>Autre Optique</t>
  </si>
  <si>
    <t>Autre_Optique</t>
  </si>
  <si>
    <t>Autre_Imageur</t>
  </si>
  <si>
    <t>Tube optique, capteur et longueur d'onde non référencés</t>
  </si>
  <si>
    <t>---</t>
  </si>
  <si>
    <t>Si l'instrument souhaité n'apparaît pas dans les menus déroulants, alors sélectionner "Autre_Optique" + "Valeurs utilisateur" et saisir les valeurs idoine dans la section "Tube optique, capteur et longueur d'onde non référencés".</t>
  </si>
  <si>
    <t>Si l'imageur souhaité n'apparaît pas dans les menus déroulants, alors sélectionner "Autre_Imageur" + "Valeurs utilisateur" et saisir les valeurs idoine dans la section "Tube optique, capteur et longueur d'onde non référencés".</t>
  </si>
  <si>
    <t>Il est aussi possible de voir quelle taille (en pixels) fera l'objet imagé sur le capteur en renseignant les cellules "Taille de l'objet" en bleu.</t>
  </si>
  <si>
    <t>Si la longueur d'onde souhaitée n'apparaît pas dans le menu déroulant, alors sélectionner "Valeur utilisateur" et saisir la valeur idoine dans la section "Tube optique, capteur et longueur d'onde non référencés".</t>
  </si>
  <si>
    <r>
      <t>Le calcul de l'échantillonnage apparaît en vert s'il est correct ou en rouge dans le cas contraire, et se fait à partir de la focale résultante de l'instrument</t>
    </r>
    <r>
      <rPr>
        <sz val="10"/>
        <color indexed="55"/>
        <rFont val="Arial"/>
        <family val="2"/>
      </rPr>
      <t xml:space="preserve"> (prend en compte la valeur du champ "Barlow - Réducteur").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</si>
</sst>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</numFmts>
  <fonts count="34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8"/>
      <color indexed="47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0" borderId="2" applyNumberFormat="0" applyFill="0" applyAlignment="0" applyProtection="0"/>
    <xf numFmtId="0" fontId="0" fillId="2" borderId="3" applyNumberFormat="0" applyFont="0" applyAlignment="0" applyProtection="0"/>
    <xf numFmtId="0" fontId="17" fillId="6" borderId="1" applyNumberFormat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14" borderId="4" applyNumberFormat="0" applyAlignment="0" applyProtection="0"/>
    <xf numFmtId="0" fontId="0" fillId="7" borderId="5" applyAlignment="0"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6" borderId="10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4" fillId="17" borderId="0" xfId="0" applyFont="1" applyFill="1" applyBorder="1" applyAlignment="1">
      <alignment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46" fontId="7" fillId="17" borderId="0" xfId="0" applyNumberFormat="1" applyFont="1" applyFill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0" fontId="0" fillId="17" borderId="0" xfId="0" applyFont="1" applyFill="1" applyAlignment="1">
      <alignment horizontal="left" vertical="center"/>
    </xf>
    <xf numFmtId="2" fontId="0" fillId="17" borderId="0" xfId="0" applyNumberFormat="1" applyFont="1" applyFill="1" applyAlignment="1">
      <alignment horizontal="left" vertical="center"/>
    </xf>
    <xf numFmtId="46" fontId="0" fillId="17" borderId="0" xfId="0" applyNumberFormat="1" applyFont="1" applyFill="1" applyBorder="1" applyAlignment="1">
      <alignment horizontal="left" vertical="center"/>
    </xf>
    <xf numFmtId="2" fontId="0" fillId="17" borderId="0" xfId="0" applyNumberFormat="1" applyFont="1" applyFill="1" applyBorder="1" applyAlignment="1">
      <alignment horizontal="left" vertical="center"/>
    </xf>
    <xf numFmtId="0" fontId="0" fillId="17" borderId="0" xfId="0" applyNumberFormat="1" applyFont="1" applyFill="1" applyBorder="1" applyAlignment="1">
      <alignment horizontal="left" vertical="center"/>
    </xf>
    <xf numFmtId="0" fontId="4" fillId="17" borderId="0" xfId="0" applyFont="1" applyFill="1" applyAlignment="1">
      <alignment horizontal="left" vertical="center"/>
    </xf>
    <xf numFmtId="1" fontId="0" fillId="17" borderId="0" xfId="0" applyNumberFormat="1" applyFont="1" applyFill="1" applyBorder="1" applyAlignment="1">
      <alignment horizontal="left" vertical="center"/>
    </xf>
    <xf numFmtId="2" fontId="0" fillId="17" borderId="0" xfId="0" applyNumberFormat="1" applyFont="1" applyFill="1" applyAlignment="1">
      <alignment horizontal="center" vertical="center"/>
    </xf>
    <xf numFmtId="0" fontId="0" fillId="17" borderId="0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vertical="center" wrapText="1"/>
    </xf>
    <xf numFmtId="164" fontId="7" fillId="17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17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vertical="center"/>
    </xf>
    <xf numFmtId="0" fontId="1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 wrapText="1"/>
    </xf>
    <xf numFmtId="0" fontId="9" fillId="3" borderId="1" xfId="16" applyBorder="1" applyAlignment="1">
      <alignment horizontal="left"/>
    </xf>
    <xf numFmtId="0" fontId="9" fillId="3" borderId="1" xfId="16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0" fillId="5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center"/>
    </xf>
    <xf numFmtId="0" fontId="9" fillId="5" borderId="1" xfId="16" applyFill="1" applyBorder="1" applyAlignment="1">
      <alignment horizontal="center"/>
    </xf>
    <xf numFmtId="0" fontId="9" fillId="5" borderId="1" xfId="16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17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12" fillId="17" borderId="0" xfId="0" applyNumberFormat="1" applyFont="1" applyFill="1" applyBorder="1" applyAlignment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17" borderId="0" xfId="0" applyFont="1" applyFill="1" applyBorder="1" applyAlignment="1">
      <alignment horizontal="left" vertical="center" wrapText="1"/>
    </xf>
    <xf numFmtId="0" fontId="29" fillId="17" borderId="0" xfId="0" applyFont="1" applyFill="1" applyAlignment="1">
      <alignment horizontal="left" vertical="center"/>
    </xf>
    <xf numFmtId="0" fontId="12" fillId="17" borderId="0" xfId="0" applyFont="1" applyFill="1" applyAlignment="1">
      <alignment horizontal="left" vertical="center"/>
    </xf>
    <xf numFmtId="0" fontId="33" fillId="17" borderId="0" xfId="0" applyFont="1" applyFill="1" applyBorder="1" applyAlignment="1">
      <alignment vertical="center"/>
    </xf>
    <xf numFmtId="0" fontId="0" fillId="17" borderId="0" xfId="0" applyFont="1" applyFill="1" applyAlignment="1">
      <alignment horizontal="left" vertical="center"/>
    </xf>
    <xf numFmtId="0" fontId="4" fillId="17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164" fontId="5" fillId="17" borderId="5" xfId="0" applyNumberFormat="1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 wrapText="1"/>
    </xf>
    <xf numFmtId="0" fontId="5" fillId="17" borderId="5" xfId="0" applyFont="1" applyFill="1" applyBorder="1" applyAlignment="1">
      <alignment vertical="center"/>
    </xf>
    <xf numFmtId="2" fontId="0" fillId="18" borderId="1" xfId="0" applyNumberFormat="1" applyFont="1" applyFill="1" applyBorder="1" applyAlignment="1">
      <alignment horizontal="center"/>
    </xf>
    <xf numFmtId="0" fontId="11" fillId="17" borderId="0" xfId="0" applyFont="1" applyFill="1" applyAlignment="1">
      <alignment vertical="center" wrapText="1"/>
    </xf>
    <xf numFmtId="2" fontId="0" fillId="6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7" borderId="1" xfId="0" applyNumberFormat="1" applyFont="1" applyFill="1" applyBorder="1" applyAlignment="1">
      <alignment horizontal="center"/>
    </xf>
    <xf numFmtId="0" fontId="4" fillId="17" borderId="0" xfId="0" applyFont="1" applyFill="1" applyAlignment="1">
      <alignment vertical="center" wrapText="1"/>
    </xf>
    <xf numFmtId="0" fontId="5" fillId="17" borderId="0" xfId="0" applyFont="1" applyFill="1" applyBorder="1" applyAlignment="1">
      <alignment vertical="center"/>
    </xf>
    <xf numFmtId="164" fontId="5" fillId="17" borderId="0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left"/>
    </xf>
    <xf numFmtId="1" fontId="0" fillId="2" borderId="2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1" fontId="0" fillId="18" borderId="21" xfId="0" applyNumberFormat="1" applyFont="1" applyFill="1" applyBorder="1" applyAlignment="1">
      <alignment horizontal="center"/>
    </xf>
    <xf numFmtId="0" fontId="0" fillId="18" borderId="21" xfId="0" applyFont="1" applyFill="1" applyBorder="1" applyAlignment="1">
      <alignment/>
    </xf>
    <xf numFmtId="2" fontId="0" fillId="18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2" fontId="5" fillId="17" borderId="0" xfId="0" applyNumberFormat="1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49" fontId="4" fillId="17" borderId="24" xfId="0" applyNumberFormat="1" applyFont="1" applyFill="1" applyBorder="1" applyAlignment="1" quotePrefix="1">
      <alignment horizontal="center" vertical="center"/>
    </xf>
    <xf numFmtId="0" fontId="31" fillId="0" borderId="0" xfId="45" applyAlignment="1">
      <alignment/>
    </xf>
    <xf numFmtId="0" fontId="4" fillId="17" borderId="18" xfId="0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2" fillId="17" borderId="18" xfId="0" applyNumberFormat="1" applyFont="1" applyFill="1" applyBorder="1" applyAlignment="1">
      <alignment horizontal="center" vertical="center"/>
    </xf>
    <xf numFmtId="0" fontId="2" fillId="17" borderId="24" xfId="0" applyNumberFormat="1" applyFont="1" applyFill="1" applyBorder="1" applyAlignment="1">
      <alignment horizontal="center" vertical="center"/>
    </xf>
    <xf numFmtId="0" fontId="2" fillId="17" borderId="19" xfId="0" applyNumberFormat="1" applyFont="1" applyFill="1" applyBorder="1" applyAlignment="1">
      <alignment horizontal="center" vertical="center"/>
    </xf>
    <xf numFmtId="1" fontId="3" fillId="17" borderId="5" xfId="0" applyNumberFormat="1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2" fillId="17" borderId="25" xfId="0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2" fontId="3" fillId="17" borderId="5" xfId="0" applyNumberFormat="1" applyFont="1" applyFill="1" applyBorder="1" applyAlignment="1">
      <alignment horizontal="center" vertical="center"/>
    </xf>
    <xf numFmtId="164" fontId="2" fillId="17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6" fontId="3" fillId="17" borderId="5" xfId="0" applyNumberFormat="1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164" fontId="5" fillId="17" borderId="5" xfId="0" applyNumberFormat="1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3" fillId="17" borderId="0" xfId="0" applyFont="1" applyFill="1" applyAlignment="1">
      <alignment horizontal="left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3" fillId="17" borderId="0" xfId="0" applyFont="1" applyFill="1" applyAlignment="1">
      <alignment horizontal="left"/>
    </xf>
    <xf numFmtId="0" fontId="33" fillId="17" borderId="31" xfId="0" applyFont="1" applyFill="1" applyBorder="1" applyAlignment="1">
      <alignment horizontal="left"/>
    </xf>
    <xf numFmtId="2" fontId="5" fillId="17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theme="6" tint="0.7999799847602844"/>
        </patternFill>
      </fill>
    </dxf>
    <dxf>
      <font>
        <b/>
        <i val="0"/>
        <color rgb="FF008000"/>
      </font>
      <border/>
    </dxf>
    <dxf>
      <font>
        <color rgb="FF00800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1" defaultTableStyle="TableStyleMedium9" defaultPivotStyle="PivotStyleLight16">
    <tableStyle name="Style de tableau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pn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104775</xdr:colOff>
      <xdr:row>6</xdr:row>
      <xdr:rowOff>0</xdr:rowOff>
    </xdr:to>
    <xdr:pic>
      <xdr:nvPicPr>
        <xdr:cNvPr id="1" name="Image 1" descr="logo-avex_noir-full-fond_transparent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104775</xdr:rowOff>
    </xdr:from>
    <xdr:to>
      <xdr:col>1</xdr:col>
      <xdr:colOff>9525</xdr:colOff>
      <xdr:row>13</xdr:row>
      <xdr:rowOff>76200</xdr:rowOff>
    </xdr:to>
    <xdr:pic>
      <xdr:nvPicPr>
        <xdr:cNvPr id="1" name="Image 2" descr="aplogo-color-web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1847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75</xdr:row>
      <xdr:rowOff>152400</xdr:rowOff>
    </xdr:from>
    <xdr:to>
      <xdr:col>0</xdr:col>
      <xdr:colOff>1809750</xdr:colOff>
      <xdr:row>82</xdr:row>
      <xdr:rowOff>142875</xdr:rowOff>
    </xdr:to>
    <xdr:pic>
      <xdr:nvPicPr>
        <xdr:cNvPr id="2" name="Image 6" descr="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458700"/>
          <a:ext cx="1752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133350</xdr:rowOff>
    </xdr:from>
    <xdr:to>
      <xdr:col>0</xdr:col>
      <xdr:colOff>1771650</xdr:colOff>
      <xdr:row>5</xdr:row>
      <xdr:rowOff>152400</xdr:rowOff>
    </xdr:to>
    <xdr:pic>
      <xdr:nvPicPr>
        <xdr:cNvPr id="3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5720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95250</xdr:rowOff>
    </xdr:from>
    <xdr:to>
      <xdr:col>1</xdr:col>
      <xdr:colOff>0</xdr:colOff>
      <xdr:row>28</xdr:row>
      <xdr:rowOff>9525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05300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57150</xdr:rowOff>
    </xdr:from>
    <xdr:to>
      <xdr:col>0</xdr:col>
      <xdr:colOff>1800225</xdr:colOff>
      <xdr:row>39</xdr:row>
      <xdr:rowOff>123825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048375"/>
          <a:ext cx="1790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59</xdr:row>
      <xdr:rowOff>0</xdr:rowOff>
    </xdr:from>
    <xdr:to>
      <xdr:col>0</xdr:col>
      <xdr:colOff>1762125</xdr:colOff>
      <xdr:row>65</xdr:row>
      <xdr:rowOff>57150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9715500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91</xdr:row>
      <xdr:rowOff>152400</xdr:rowOff>
    </xdr:from>
    <xdr:to>
      <xdr:col>0</xdr:col>
      <xdr:colOff>1257300</xdr:colOff>
      <xdr:row>96</xdr:row>
      <xdr:rowOff>0</xdr:rowOff>
    </xdr:to>
    <xdr:pic>
      <xdr:nvPicPr>
        <xdr:cNvPr id="7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150495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97</xdr:row>
      <xdr:rowOff>66675</xdr:rowOff>
    </xdr:from>
    <xdr:to>
      <xdr:col>0</xdr:col>
      <xdr:colOff>1781175</xdr:colOff>
      <xdr:row>100</xdr:row>
      <xdr:rowOff>133350</xdr:rowOff>
    </xdr:to>
    <xdr:pic>
      <xdr:nvPicPr>
        <xdr:cNvPr id="8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5935325"/>
          <a:ext cx="1724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102</xdr:row>
      <xdr:rowOff>9525</xdr:rowOff>
    </xdr:from>
    <xdr:to>
      <xdr:col>0</xdr:col>
      <xdr:colOff>1533525</xdr:colOff>
      <xdr:row>105</xdr:row>
      <xdr:rowOff>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166878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109</xdr:row>
      <xdr:rowOff>66675</xdr:rowOff>
    </xdr:from>
    <xdr:to>
      <xdr:col>0</xdr:col>
      <xdr:colOff>1790700</xdr:colOff>
      <xdr:row>114</xdr:row>
      <xdr:rowOff>66675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7878425"/>
          <a:ext cx="1752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128</xdr:row>
      <xdr:rowOff>85725</xdr:rowOff>
    </xdr:from>
    <xdr:to>
      <xdr:col>0</xdr:col>
      <xdr:colOff>1590675</xdr:colOff>
      <xdr:row>130</xdr:row>
      <xdr:rowOff>57150</xdr:rowOff>
    </xdr:to>
    <xdr:pic>
      <xdr:nvPicPr>
        <xdr:cNvPr id="11" name="Picture 72"/>
        <xdr:cNvPicPr preferRelativeResize="1">
          <a:picLocks noChangeAspect="1"/>
        </xdr:cNvPicPr>
      </xdr:nvPicPr>
      <xdr:blipFill>
        <a:blip r:embed="rId11"/>
        <a:srcRect t="38261" b="38259"/>
        <a:stretch>
          <a:fillRect/>
        </a:stretch>
      </xdr:blipFill>
      <xdr:spPr>
        <a:xfrm>
          <a:off x="257175" y="20974050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119</xdr:row>
      <xdr:rowOff>38100</xdr:rowOff>
    </xdr:from>
    <xdr:to>
      <xdr:col>0</xdr:col>
      <xdr:colOff>1676400</xdr:colOff>
      <xdr:row>123</xdr:row>
      <xdr:rowOff>95250</xdr:rowOff>
    </xdr:to>
    <xdr:pic>
      <xdr:nvPicPr>
        <xdr:cNvPr id="12" name="Picture 75" descr="WO_Logo"/>
        <xdr:cNvPicPr preferRelativeResize="1">
          <a:picLocks noChangeAspect="1"/>
        </xdr:cNvPicPr>
      </xdr:nvPicPr>
      <xdr:blipFill>
        <a:blip r:embed="rId12"/>
        <a:srcRect l="1742" t="11560" r="3483" b="12138"/>
        <a:stretch>
          <a:fillRect/>
        </a:stretch>
      </xdr:blipFill>
      <xdr:spPr>
        <a:xfrm>
          <a:off x="219075" y="1946910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142875</xdr:rowOff>
    </xdr:from>
    <xdr:to>
      <xdr:col>1</xdr:col>
      <xdr:colOff>0</xdr:colOff>
      <xdr:row>51</xdr:row>
      <xdr:rowOff>47625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915275"/>
          <a:ext cx="1838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114300</xdr:rowOff>
    </xdr:from>
    <xdr:to>
      <xdr:col>0</xdr:col>
      <xdr:colOff>1819275</xdr:colOff>
      <xdr:row>20</xdr:row>
      <xdr:rowOff>152400</xdr:rowOff>
    </xdr:to>
    <xdr:pic>
      <xdr:nvPicPr>
        <xdr:cNvPr id="14" name="Picture 80" descr="Astro-Tech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19087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30</xdr:row>
      <xdr:rowOff>9525</xdr:rowOff>
    </xdr:from>
    <xdr:to>
      <xdr:col>0</xdr:col>
      <xdr:colOff>1381125</xdr:colOff>
      <xdr:row>33</xdr:row>
      <xdr:rowOff>152400</xdr:rowOff>
    </xdr:to>
    <xdr:pic>
      <xdr:nvPicPr>
        <xdr:cNvPr id="15" name="Picture 82" descr="GSO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3375" y="5029200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0</xdr:col>
      <xdr:colOff>1238250</xdr:colOff>
      <xdr:row>5</xdr:row>
      <xdr:rowOff>38100</xdr:rowOff>
    </xdr:to>
    <xdr:pic>
      <xdr:nvPicPr>
        <xdr:cNvPr id="1" name="Image 1" descr="atik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114300</xdr:rowOff>
    </xdr:from>
    <xdr:to>
      <xdr:col>0</xdr:col>
      <xdr:colOff>1228725</xdr:colOff>
      <xdr:row>10</xdr:row>
      <xdr:rowOff>76200</xdr:rowOff>
    </xdr:to>
    <xdr:pic>
      <xdr:nvPicPr>
        <xdr:cNvPr id="2" name="Image 2" descr="h_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228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19050</xdr:rowOff>
    </xdr:from>
    <xdr:to>
      <xdr:col>0</xdr:col>
      <xdr:colOff>1219200</xdr:colOff>
      <xdr:row>26</xdr:row>
      <xdr:rowOff>142875</xdr:rowOff>
    </xdr:to>
    <xdr:pic>
      <xdr:nvPicPr>
        <xdr:cNvPr id="3" name="Image 3" descr="logo_canon_resiz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2670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0</xdr:col>
      <xdr:colOff>1266825</xdr:colOff>
      <xdr:row>38</xdr:row>
      <xdr:rowOff>47625</xdr:rowOff>
    </xdr:to>
    <xdr:pic>
      <xdr:nvPicPr>
        <xdr:cNvPr id="4" name="Image 4" descr="Lumenera-ColorLogoForScreen-LowRest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05500"/>
          <a:ext cx="1266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95250</xdr:rowOff>
    </xdr:from>
    <xdr:to>
      <xdr:col>0</xdr:col>
      <xdr:colOff>1257300</xdr:colOff>
      <xdr:row>54</xdr:row>
      <xdr:rowOff>47625</xdr:rowOff>
    </xdr:to>
    <xdr:pic>
      <xdr:nvPicPr>
        <xdr:cNvPr id="5" name="Image 5" descr="nikon_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75533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63</xdr:row>
      <xdr:rowOff>76200</xdr:rowOff>
    </xdr:from>
    <xdr:to>
      <xdr:col>0</xdr:col>
      <xdr:colOff>1200150</xdr:colOff>
      <xdr:row>66</xdr:row>
      <xdr:rowOff>104775</xdr:rowOff>
    </xdr:to>
    <xdr:pic>
      <xdr:nvPicPr>
        <xdr:cNvPr id="6" name="Image 6" descr="qsilogo45.gif"/>
        <xdr:cNvPicPr preferRelativeResize="1">
          <a:picLocks noChangeAspect="1"/>
        </xdr:cNvPicPr>
      </xdr:nvPicPr>
      <xdr:blipFill>
        <a:blip r:embed="rId6"/>
        <a:srcRect l="32800"/>
        <a:stretch>
          <a:fillRect/>
        </a:stretch>
      </xdr:blipFill>
      <xdr:spPr>
        <a:xfrm>
          <a:off x="66675" y="10287000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161925</xdr:rowOff>
    </xdr:from>
    <xdr:to>
      <xdr:col>0</xdr:col>
      <xdr:colOff>1295400</xdr:colOff>
      <xdr:row>80</xdr:row>
      <xdr:rowOff>38100</xdr:rowOff>
    </xdr:to>
    <xdr:pic>
      <xdr:nvPicPr>
        <xdr:cNvPr id="7" name="Image 7" descr="sb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83005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84</xdr:row>
      <xdr:rowOff>133350</xdr:rowOff>
    </xdr:from>
    <xdr:to>
      <xdr:col>0</xdr:col>
      <xdr:colOff>1276350</xdr:colOff>
      <xdr:row>87</xdr:row>
      <xdr:rowOff>133350</xdr:rowOff>
    </xdr:to>
    <xdr:pic>
      <xdr:nvPicPr>
        <xdr:cNvPr id="8" name="Image 8" descr="log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374457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152400</xdr:rowOff>
    </xdr:from>
    <xdr:to>
      <xdr:col>0</xdr:col>
      <xdr:colOff>1295400</xdr:colOff>
      <xdr:row>93</xdr:row>
      <xdr:rowOff>9525</xdr:rowOff>
    </xdr:to>
    <xdr:pic>
      <xdr:nvPicPr>
        <xdr:cNvPr id="9" name="Image 9" descr="logo-starlight-es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735175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66675</xdr:rowOff>
    </xdr:from>
    <xdr:to>
      <xdr:col>0</xdr:col>
      <xdr:colOff>1295400</xdr:colOff>
      <xdr:row>98</xdr:row>
      <xdr:rowOff>85725</xdr:rowOff>
    </xdr:to>
    <xdr:pic>
      <xdr:nvPicPr>
        <xdr:cNvPr id="10" name="Image 10" descr="TIS_Astro_Cams_Logo_475x6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5782925"/>
          <a:ext cx="1295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au8" displayName="Tableau8" ref="B1:R102" insertRow="1" totalsRowShown="0">
  <autoFilter ref="B1:R102"/>
  <tableColumns count="17">
    <tableColumn id="1" name="Modèle"/>
    <tableColumn id="2" name="Capteur"/>
    <tableColumn id="3" name="Type"/>
    <tableColumn id="4" name="Largeur (mm)"/>
    <tableColumn id="5" name="Hauteur (mm)"/>
    <tableColumn id="6" name="Largeur (pixels)"/>
    <tableColumn id="7" name="Hauteur (pixels)"/>
    <tableColumn id="8" name="Photosites (µm)"/>
    <tableColumn id="9" name="Mégapixels"/>
    <tableColumn id="10" name="Cadence (im/s)"/>
    <tableColumn id="11" name="Dynamique"/>
    <tableColumn id="12" name="Numérisation (bits)"/>
    <tableColumn id="13" name="Bruit de lecture"/>
    <tableColumn id="14" name="Courant d'obscurité à 0°C"/>
    <tableColumn id="15" name="Temps de chargement d'une image"/>
    <tableColumn id="16" name="Capacité des pixels"/>
    <tableColumn id="17" name="Refroidissement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Th%C3%A9or%C3%A8me_d%27%C3%A9chantillonnage_de_Nyquist-Shann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P14" sqref="P14:P15"/>
    </sheetView>
  </sheetViews>
  <sheetFormatPr defaultColWidth="11.421875" defaultRowHeight="12.75"/>
  <cols>
    <col min="1" max="1" width="11.421875" style="6" customWidth="1"/>
    <col min="2" max="2" width="11.00390625" style="6" customWidth="1"/>
    <col min="3" max="3" width="10.28125" style="14" customWidth="1"/>
    <col min="4" max="4" width="9.421875" style="14" customWidth="1"/>
    <col min="5" max="6" width="11.7109375" style="6" customWidth="1"/>
    <col min="7" max="7" width="10.7109375" style="6" customWidth="1"/>
    <col min="8" max="9" width="8.7109375" style="6" customWidth="1"/>
    <col min="10" max="10" width="11.7109375" style="6" customWidth="1"/>
    <col min="11" max="12" width="10.140625" style="6" customWidth="1"/>
    <col min="13" max="14" width="8.7109375" style="6" customWidth="1"/>
    <col min="15" max="15" width="4.28125" style="6" customWidth="1"/>
    <col min="16" max="18" width="15.7109375" style="6" customWidth="1"/>
    <col min="19" max="21" width="4.7109375" style="6" customWidth="1"/>
    <col min="22" max="22" width="8.28125" style="6" customWidth="1"/>
    <col min="23" max="16384" width="11.421875" style="6" customWidth="1"/>
  </cols>
  <sheetData>
    <row r="1" spans="3:17" ht="49.5" customHeight="1">
      <c r="C1" s="32" t="s">
        <v>392</v>
      </c>
      <c r="D1" s="154" t="s">
        <v>449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15"/>
      <c r="P1" s="118"/>
      <c r="Q1" s="118"/>
    </row>
    <row r="2" spans="3:7" ht="12.75">
      <c r="C2" s="180" t="s">
        <v>452</v>
      </c>
      <c r="D2" s="180"/>
      <c r="E2" s="180"/>
      <c r="F2" s="180"/>
      <c r="G2" s="180"/>
    </row>
    <row r="3" spans="3:7" ht="12.75">
      <c r="C3" s="181" t="s">
        <v>307</v>
      </c>
      <c r="D3" s="181"/>
      <c r="E3" s="181"/>
      <c r="F3" s="181"/>
      <c r="G3" s="181"/>
    </row>
    <row r="4" spans="3:18" ht="12.75">
      <c r="C4" s="7"/>
      <c r="D4" s="7"/>
      <c r="E4" s="7"/>
      <c r="F4" s="7"/>
      <c r="G4" s="7"/>
      <c r="H4" s="7"/>
      <c r="I4" s="7"/>
      <c r="K4" s="7"/>
      <c r="L4" s="7"/>
      <c r="M4" s="7"/>
      <c r="N4" s="7"/>
      <c r="O4" s="7"/>
      <c r="P4" s="7"/>
      <c r="Q4" s="7"/>
      <c r="R4" s="7"/>
    </row>
    <row r="5" spans="3:18" ht="18">
      <c r="C5" s="106" t="s">
        <v>308</v>
      </c>
      <c r="D5" s="7"/>
      <c r="E5" s="8"/>
      <c r="F5" s="8"/>
      <c r="G5" s="8"/>
      <c r="H5" s="8"/>
      <c r="I5" s="8"/>
      <c r="K5" s="8"/>
      <c r="L5" s="8"/>
      <c r="M5" s="8"/>
      <c r="N5" s="8"/>
      <c r="O5" s="8"/>
      <c r="P5" s="8"/>
      <c r="Q5" s="8"/>
      <c r="R5" s="8"/>
    </row>
    <row r="6" spans="3:18" ht="12.75">
      <c r="C6" s="7"/>
      <c r="D6" s="7"/>
      <c r="E6" s="8"/>
      <c r="F6" s="8"/>
      <c r="G6" s="8"/>
      <c r="H6" s="8"/>
      <c r="I6" s="8"/>
      <c r="K6" s="8"/>
      <c r="L6" s="8"/>
      <c r="M6" s="8"/>
      <c r="N6" s="8"/>
      <c r="O6" s="8"/>
      <c r="P6" s="8"/>
      <c r="Q6" s="8"/>
      <c r="R6" s="8"/>
    </row>
    <row r="7" spans="3:22" ht="12.75" customHeight="1">
      <c r="C7" s="184" t="s">
        <v>309</v>
      </c>
      <c r="D7" s="152"/>
      <c r="E7" s="152"/>
      <c r="F7" s="151"/>
      <c r="G7" s="155" t="s">
        <v>451</v>
      </c>
      <c r="H7" s="155" t="s">
        <v>457</v>
      </c>
      <c r="I7" s="164"/>
      <c r="J7" s="155" t="s">
        <v>453</v>
      </c>
      <c r="K7" s="147" t="s">
        <v>310</v>
      </c>
      <c r="L7" s="148"/>
      <c r="M7" s="148"/>
      <c r="N7" s="149"/>
      <c r="O7" s="141"/>
      <c r="P7" s="164" t="s">
        <v>311</v>
      </c>
      <c r="Q7" s="164"/>
      <c r="R7" s="164"/>
      <c r="S7" s="157" t="s">
        <v>328</v>
      </c>
      <c r="T7" s="158"/>
      <c r="U7" s="158"/>
      <c r="V7" s="159"/>
    </row>
    <row r="8" spans="1:22" ht="25.5" customHeight="1">
      <c r="A8" s="31"/>
      <c r="C8" s="184" t="s">
        <v>0</v>
      </c>
      <c r="D8" s="151"/>
      <c r="E8" s="184" t="s">
        <v>1</v>
      </c>
      <c r="F8" s="151"/>
      <c r="G8" s="155"/>
      <c r="H8" s="164"/>
      <c r="I8" s="164"/>
      <c r="J8" s="155"/>
      <c r="K8" s="184" t="s">
        <v>0</v>
      </c>
      <c r="L8" s="151"/>
      <c r="M8" s="184" t="s">
        <v>1</v>
      </c>
      <c r="N8" s="151"/>
      <c r="O8" s="142"/>
      <c r="P8" s="9" t="s">
        <v>313</v>
      </c>
      <c r="Q8" s="9" t="s">
        <v>314</v>
      </c>
      <c r="R8" s="9" t="s">
        <v>315</v>
      </c>
      <c r="S8" s="112" t="s">
        <v>330</v>
      </c>
      <c r="T8" s="145" t="s">
        <v>331</v>
      </c>
      <c r="U8" s="113" t="s">
        <v>332</v>
      </c>
      <c r="V8" s="9" t="s">
        <v>333</v>
      </c>
    </row>
    <row r="9" spans="3:22" ht="12.75" customHeight="1">
      <c r="C9" s="165" t="s">
        <v>241</v>
      </c>
      <c r="D9" s="166"/>
      <c r="E9" s="165" t="s">
        <v>242</v>
      </c>
      <c r="F9" s="166"/>
      <c r="G9" s="179">
        <v>1</v>
      </c>
      <c r="H9" s="165" t="s">
        <v>461</v>
      </c>
      <c r="I9" s="166"/>
      <c r="J9" s="170">
        <v>1</v>
      </c>
      <c r="K9" s="171" t="s">
        <v>465</v>
      </c>
      <c r="L9" s="171"/>
      <c r="M9" s="171" t="s">
        <v>202</v>
      </c>
      <c r="N9" s="171"/>
      <c r="O9" s="143"/>
      <c r="P9" s="172">
        <f>VLOOKUP(M9,Caméras!B2:R103,4,0)*180/PI()/24/VLOOKUP(E9,'Tubes optiques'!B2:E133,3,0)/G9</f>
        <v>0.014260282901033821</v>
      </c>
      <c r="Q9" s="172">
        <f>VLOOKUP(M9,Caméras!B2:R103,5,0)*180/PI()/24/VLOOKUP(E9,'Tubes optiques'!B2:E133,3,0)/G9</f>
        <v>0.010695212175775369</v>
      </c>
      <c r="R9" s="172">
        <f>(VLOOKUP(M9,Caméras!B2:R103,5,0)^2+VLOOKUP(M9,Caméras!B2:R103,4,0)^2)^0.5*180/PI()/24/VLOOKUP(E9,'Tubes optiques'!B2:E133,3,0)/G9</f>
        <v>0.01782535362629228</v>
      </c>
      <c r="S9" s="160">
        <v>0</v>
      </c>
      <c r="T9" s="161">
        <v>10</v>
      </c>
      <c r="U9" s="162">
        <v>0</v>
      </c>
      <c r="V9" s="163">
        <f>($S9*3600+$T9*60+$U9)/P14</f>
        <v>311.6732002604203</v>
      </c>
    </row>
    <row r="10" spans="3:22" ht="12.75">
      <c r="C10" s="167"/>
      <c r="D10" s="168"/>
      <c r="E10" s="167"/>
      <c r="F10" s="168"/>
      <c r="G10" s="179"/>
      <c r="H10" s="167"/>
      <c r="I10" s="168"/>
      <c r="J10" s="170"/>
      <c r="K10" s="171"/>
      <c r="L10" s="171"/>
      <c r="M10" s="171"/>
      <c r="N10" s="171"/>
      <c r="O10" s="143"/>
      <c r="P10" s="172"/>
      <c r="Q10" s="172"/>
      <c r="R10" s="172"/>
      <c r="S10" s="160"/>
      <c r="T10" s="161"/>
      <c r="U10" s="162"/>
      <c r="V10" s="163"/>
    </row>
    <row r="11" spans="3:19" s="11" customFormat="1" ht="12.75">
      <c r="C11" s="150" t="s">
        <v>316</v>
      </c>
      <c r="D11" s="185"/>
      <c r="E11" s="153" t="str">
        <f>ROUND(VLOOKUP(E9,'Tubes optiques'!B2:E133,2,0),1)&amp;" mm"</f>
        <v>80 mm</v>
      </c>
      <c r="F11" s="153"/>
      <c r="G11" s="8"/>
      <c r="K11" s="182" t="s">
        <v>2</v>
      </c>
      <c r="L11" s="183"/>
      <c r="M11" s="173" t="str">
        <f>IF(VLOOKUP(M9,Caméras!B2:R103,2,0)=0,"---",VLOOKUP(M9,Caméras!B2:R103,2,0))</f>
        <v>Sony ICX098</v>
      </c>
      <c r="N11" s="173"/>
      <c r="O11" s="28"/>
      <c r="P11" s="12"/>
      <c r="Q11" s="12"/>
      <c r="R11" s="12"/>
      <c r="S11" s="13"/>
    </row>
    <row r="12" spans="3:22" s="11" customFormat="1" ht="12.75" customHeight="1">
      <c r="C12" s="150" t="s">
        <v>317</v>
      </c>
      <c r="D12" s="185"/>
      <c r="E12" s="153" t="str">
        <f>ROUND(VLOOKUP(E9,'Tubes optiques'!B2:E133,3,0),0)&amp;" mm"</f>
        <v>600 mm</v>
      </c>
      <c r="F12" s="153"/>
      <c r="G12" s="144" t="str">
        <f>IF(G9=1," ",ROUND(G9*VLOOKUP(E9,'Tubes optiques'!B2:E133,3,0),0)&amp;" mm")</f>
        <v> </v>
      </c>
      <c r="K12" s="175" t="s">
        <v>3</v>
      </c>
      <c r="L12" s="176"/>
      <c r="M12" s="153" t="str">
        <f>VLOOKUP(M9,Caméras!B2:R103,3,0)</f>
        <v>CCD</v>
      </c>
      <c r="N12" s="153"/>
      <c r="O12" s="28"/>
      <c r="P12" s="155" t="s">
        <v>312</v>
      </c>
      <c r="Q12" s="155" t="s">
        <v>447</v>
      </c>
      <c r="R12" s="155"/>
      <c r="S12" s="155" t="s">
        <v>448</v>
      </c>
      <c r="T12" s="155"/>
      <c r="U12" s="155"/>
      <c r="V12" s="155"/>
    </row>
    <row r="13" spans="3:23" s="14" customFormat="1" ht="12.75">
      <c r="C13" s="175" t="s">
        <v>214</v>
      </c>
      <c r="D13" s="176"/>
      <c r="E13" s="153">
        <f>VLOOKUP(E9,'Tubes optiques'!B2:E133,4,0)</f>
        <v>7.5</v>
      </c>
      <c r="F13" s="153"/>
      <c r="G13" s="144" t="str">
        <f>IF(G9=1," ",ROUND(G9*VLOOKUP(E9,'Tubes optiques'!B2:E133,4,0),1))</f>
        <v> </v>
      </c>
      <c r="K13" s="175" t="s">
        <v>318</v>
      </c>
      <c r="L13" s="176"/>
      <c r="M13" s="153" t="str">
        <f>VLOOKUP(M9,Caméras!B2:R103,6,0)&amp;"×"&amp;VLOOKUP(M9,Caméras!B2:R103,7,0)</f>
        <v>640×480</v>
      </c>
      <c r="N13" s="153"/>
      <c r="O13" s="28"/>
      <c r="P13" s="155"/>
      <c r="Q13" s="155"/>
      <c r="R13" s="155"/>
      <c r="S13" s="155"/>
      <c r="T13" s="155"/>
      <c r="U13" s="155"/>
      <c r="V13" s="155"/>
      <c r="W13" s="101">
        <f>VLOOKUP(M9,Caméras!B2:R103,8,0)*206.26/(MAX(VLOOKUP(E9,'Tubes optiques'!B2:F133,5,0),J9)/2)</f>
        <v>1335.30555916822</v>
      </c>
    </row>
    <row r="14" spans="3:23" s="14" customFormat="1" ht="12.75">
      <c r="C14" s="175" t="s">
        <v>318</v>
      </c>
      <c r="D14" s="176"/>
      <c r="E14" s="174" t="str">
        <f>IF(VLOOKUP(E9,'Tubes optiques'!B2:F133,5,0)&lt;1,ROUND(VLOOKUP(E9,'Tubes optiques'!B2:F133,5,0),2),IF(VLOOKUP(E9,'Tubes optiques'!B2:F133,5,0)&lt;10,ROUND(VLOOKUP(E9,'Tubes optiques'!B2:F133,5,0),1),ROUND(VLOOKUP(E9,'Tubes optiques'!B2:F133,5,0),0)))&amp;"''"</f>
        <v>1,7''</v>
      </c>
      <c r="F14" s="174"/>
      <c r="K14" s="177" t="s">
        <v>319</v>
      </c>
      <c r="L14" s="178"/>
      <c r="M14" s="153" t="str">
        <f>VLOOKUP(M9,Caméras!B2:R103,8,0)&amp;" µm"</f>
        <v>5,6 µm</v>
      </c>
      <c r="N14" s="153"/>
      <c r="O14" s="28"/>
      <c r="P14" s="169">
        <f>VLOOKUP(M9,Caméras!B2:R103,8,0)*206.26/VLOOKUP(E9,'Tubes optiques'!B2:E133,3,0)/G9</f>
        <v>1.925093333333333</v>
      </c>
      <c r="Q14" s="163" t="str">
        <f>ROUND(VLOOKUP(M9,Caméras!B2:R103,8,0)*206.26/(MAX(VLOOKUP(E9,'Tubes optiques'!B2:F133,5,0),J9)/2),0)&amp;" mm &lt; Focale &lt; "&amp;ROUND(VLOOKUP(M9,Caméras!B2:R103,8,0)*206.26/(MAX(VLOOKUP(E9,'Tubes optiques'!B2:F133,5,0),J9)/3),0)&amp;" mm"</f>
        <v>1335 mm &lt; Focale &lt; 2003 mm</v>
      </c>
      <c r="R14" s="163"/>
      <c r="S14" s="156" t="str">
        <f>IF(ROUND(G9*VLOOKUP(E9,'Tubes optiques'!B2:E133,3,0),0)&lt;ROUND(VLOOKUP(M9,Caméras!B2:R103,8,0)*206.26/(MAX(VLOOKUP(E9,'Tubes optiques'!B2:F133,5,0),J9)/2),0),"Sous-échantillonnage",IF(ROUND(G9*VLOOKUP(E9,'Tubes optiques'!B2:E133,3,0),0)&gt;ROUND(VLOOKUP(M9,Caméras!B2:R103,8,0)*206.26/(MAX(VLOOKUP(E9,'Tubes optiques'!B2:F133,5,0),J9)/3),0),"Sur-échantillonnage","Echantillonnage correct"))</f>
        <v>Sous-échantillonnage</v>
      </c>
      <c r="T14" s="156"/>
      <c r="U14" s="156"/>
      <c r="V14" s="156"/>
      <c r="W14" s="102">
        <f>G9*VLOOKUP(E9,'Tubes optiques'!B2:E133,3,0)</f>
        <v>600</v>
      </c>
    </row>
    <row r="15" spans="3:23" s="14" customFormat="1" ht="12.75">
      <c r="C15" s="28"/>
      <c r="D15" s="28"/>
      <c r="E15" s="29"/>
      <c r="F15" s="29"/>
      <c r="J15" s="107"/>
      <c r="K15" s="177" t="s">
        <v>320</v>
      </c>
      <c r="L15" s="178"/>
      <c r="M15" s="188" t="str">
        <f>ROUND(VLOOKUP(M9,Caméras!B2:R103,4,0),2)&amp;" mm"</f>
        <v>3,58 mm</v>
      </c>
      <c r="N15" s="188"/>
      <c r="O15" s="140"/>
      <c r="P15" s="169"/>
      <c r="Q15" s="163" t="str">
        <f>ROUND(VLOOKUP(M9,Caméras!B2:R103,8,0)*206.26/(MAX(VLOOKUP(E9,'Tubes optiques'!B2:F133,5,0),J9)/2)/VLOOKUP(E9,'Tubes optiques'!B2:E133,2,0),0)&amp;" &lt; F/D &lt; "&amp;ROUND(VLOOKUP(M9,Caméras!B2:R103,8,0)*206.26/(MAX(VLOOKUP(E9,'Tubes optiques'!B2:F133,5,0),J9)/3)/VLOOKUP(E9,'Tubes optiques'!B2:E133,2,0),0)</f>
        <v>17 &lt; F/D &lt; 25</v>
      </c>
      <c r="R15" s="163"/>
      <c r="S15" s="156"/>
      <c r="T15" s="156"/>
      <c r="U15" s="156"/>
      <c r="V15" s="156"/>
      <c r="W15" s="101">
        <f>VLOOKUP(M9,Caméras!B2:R103,8,0)*206.26/(MAX(VLOOKUP(E9,'Tubes optiques'!B2:F133,5,0),J9)/3)</f>
        <v>2002.95833875233</v>
      </c>
    </row>
    <row r="16" spans="10:18" s="14" customFormat="1" ht="12.75">
      <c r="J16" s="107"/>
      <c r="K16" s="177" t="s">
        <v>321</v>
      </c>
      <c r="L16" s="178"/>
      <c r="M16" s="188" t="str">
        <f>ROUND(VLOOKUP(M9,Caméras!B2:R103,5,0),2)&amp;" mm"</f>
        <v>2,69 mm</v>
      </c>
      <c r="N16" s="188"/>
      <c r="O16" s="140"/>
      <c r="Q16" s="15"/>
      <c r="R16" s="15"/>
    </row>
    <row r="17" spans="3:15" s="14" customFormat="1" ht="12.75">
      <c r="C17" s="124"/>
      <c r="D17" s="124"/>
      <c r="K17" s="175" t="s">
        <v>322</v>
      </c>
      <c r="L17" s="176"/>
      <c r="M17" s="174">
        <f>VLOOKUP(M9,Caméras!B2:R103,9,0)</f>
        <v>0.3072</v>
      </c>
      <c r="N17" s="174"/>
      <c r="O17" s="126"/>
    </row>
    <row r="18" spans="3:15" s="14" customFormat="1" ht="12.75" customHeight="1">
      <c r="C18" s="108"/>
      <c r="D18" s="108"/>
      <c r="K18" s="175" t="s">
        <v>323</v>
      </c>
      <c r="L18" s="176"/>
      <c r="M18" s="153" t="str">
        <f>IF(VLOOKUP(M9,Caméras!B2:R103,10,0)=0,"---",VLOOKUP(M9,Caméras!B2:R103,10,0)&amp;" im/s")</f>
        <v>60 im/s</v>
      </c>
      <c r="N18" s="153"/>
      <c r="O18" s="28"/>
    </row>
    <row r="19" spans="3:15" s="14" customFormat="1" ht="12.75">
      <c r="C19" s="125"/>
      <c r="D19" s="28"/>
      <c r="K19" s="175" t="s">
        <v>324</v>
      </c>
      <c r="L19" s="176"/>
      <c r="M19" s="153" t="str">
        <f>IF(VLOOKUP(M9,Caméras!B2:R103,11,0)=0,"---",VLOOKUP(M9,Caméras!B2:R103,11,0))</f>
        <v>---</v>
      </c>
      <c r="N19" s="153"/>
      <c r="O19" s="28"/>
    </row>
    <row r="20" spans="3:15" s="14" customFormat="1" ht="12.75" customHeight="1">
      <c r="C20" s="186" t="s">
        <v>475</v>
      </c>
      <c r="D20" s="186"/>
      <c r="E20" s="186"/>
      <c r="F20" s="186"/>
      <c r="G20" s="186"/>
      <c r="H20" s="186"/>
      <c r="I20" s="186"/>
      <c r="J20" s="187"/>
      <c r="K20" s="175" t="s">
        <v>325</v>
      </c>
      <c r="L20" s="176"/>
      <c r="M20" s="153" t="str">
        <f>IF(VLOOKUP(M9,Caméras!B2:R103,12,0)=0,"---",VLOOKUP(M9,Caméras!B2:R103,12,0)&amp;" bits")</f>
        <v>8 bits</v>
      </c>
      <c r="N20" s="153"/>
      <c r="O20" s="28"/>
    </row>
    <row r="21" spans="3:18" s="14" customFormat="1" ht="12.75">
      <c r="C21" s="186"/>
      <c r="D21" s="186"/>
      <c r="E21" s="186"/>
      <c r="F21" s="186"/>
      <c r="G21" s="186"/>
      <c r="H21" s="186"/>
      <c r="I21" s="186"/>
      <c r="J21" s="187"/>
      <c r="K21" s="175" t="s">
        <v>10</v>
      </c>
      <c r="L21" s="176"/>
      <c r="M21" s="153" t="str">
        <f>IF(VLOOKUP(M9,Caméras!B2:R103,13,0)=0,"---",VLOOKUP(M9,Caméras!B2:R103,13,0))</f>
        <v>---</v>
      </c>
      <c r="N21" s="153"/>
      <c r="O21" s="28"/>
      <c r="Q21" s="15"/>
      <c r="R21" s="15"/>
    </row>
    <row r="22" spans="3:18" s="14" customFormat="1" ht="12.75">
      <c r="C22" s="19"/>
      <c r="D22" s="19"/>
      <c r="E22" s="6"/>
      <c r="F22" s="6"/>
      <c r="K22" s="175" t="s">
        <v>326</v>
      </c>
      <c r="L22" s="176"/>
      <c r="M22" s="153" t="str">
        <f>IF(VLOOKUP(M9,Caméras!B2:R103,14,0)=0,"---",VLOOKUP(M9,Caméras!B2:R103,14,0))</f>
        <v>---</v>
      </c>
      <c r="N22" s="153"/>
      <c r="O22" s="28"/>
      <c r="Q22" s="15"/>
      <c r="R22" s="15"/>
    </row>
    <row r="23" spans="3:18" s="14" customFormat="1" ht="12.75">
      <c r="C23" s="184" t="s">
        <v>309</v>
      </c>
      <c r="D23" s="151"/>
      <c r="E23" s="184" t="s">
        <v>2</v>
      </c>
      <c r="F23" s="152"/>
      <c r="G23" s="151"/>
      <c r="H23" s="155" t="s">
        <v>456</v>
      </c>
      <c r="K23" s="175" t="s">
        <v>327</v>
      </c>
      <c r="L23" s="176"/>
      <c r="M23" s="153" t="str">
        <f>IF(VLOOKUP(M9,Caméras!B2:R103,15,0)=0,"---",VLOOKUP(M9,Caméras!B2:R103,15,0))</f>
        <v>---</v>
      </c>
      <c r="N23" s="153"/>
      <c r="O23" s="28"/>
      <c r="Q23" s="15"/>
      <c r="R23" s="15"/>
    </row>
    <row r="24" spans="3:18" s="14" customFormat="1" ht="12.75">
      <c r="C24" s="109" t="s">
        <v>212</v>
      </c>
      <c r="D24" s="109" t="s">
        <v>213</v>
      </c>
      <c r="E24" s="9" t="s">
        <v>320</v>
      </c>
      <c r="F24" s="9" t="s">
        <v>321</v>
      </c>
      <c r="G24" s="9" t="s">
        <v>329</v>
      </c>
      <c r="H24" s="155"/>
      <c r="K24" s="175" t="s">
        <v>13</v>
      </c>
      <c r="L24" s="176"/>
      <c r="M24" s="153" t="str">
        <f>IF(VLOOKUP(M9,Caméras!B2:R103,16,0)=0,"---",VLOOKUP(M9,Caméras!B2:R103,16,0))</f>
        <v>---</v>
      </c>
      <c r="N24" s="153"/>
      <c r="O24" s="28"/>
      <c r="Q24" s="15"/>
      <c r="R24" s="15"/>
    </row>
    <row r="25" spans="3:15" s="14" customFormat="1" ht="12.75">
      <c r="C25" s="10">
        <v>106</v>
      </c>
      <c r="D25" s="10">
        <v>530</v>
      </c>
      <c r="E25" s="10">
        <v>36</v>
      </c>
      <c r="F25" s="10">
        <v>24</v>
      </c>
      <c r="G25" s="10">
        <v>9</v>
      </c>
      <c r="H25" s="10">
        <v>550</v>
      </c>
      <c r="K25" s="175" t="s">
        <v>14</v>
      </c>
      <c r="L25" s="176"/>
      <c r="M25" s="153" t="str">
        <f>IF(VLOOKUP(M9,Caméras!B2:R103,17,0)=0,"---",VLOOKUP(M9,Caméras!B2:R103,17,0))</f>
        <v>---</v>
      </c>
      <c r="N25" s="153"/>
      <c r="O25" s="28"/>
    </row>
    <row r="26" spans="3:19" s="14" customFormat="1" ht="12.75">
      <c r="C26" s="125"/>
      <c r="D26" s="126"/>
      <c r="S26" s="97"/>
    </row>
    <row r="27" spans="7:22" s="14" customFormat="1" ht="12.75">
      <c r="G27" s="6"/>
      <c r="H27" s="6"/>
      <c r="I27" s="6"/>
      <c r="J27" s="17"/>
      <c r="K27" s="21"/>
      <c r="L27" s="21"/>
      <c r="R27" s="6"/>
      <c r="S27" s="18"/>
      <c r="T27" s="18"/>
      <c r="U27" s="18"/>
      <c r="V27" s="20"/>
    </row>
    <row r="28" spans="11:22" s="14" customFormat="1" ht="12.75">
      <c r="K28" s="16"/>
      <c r="L28" s="16"/>
      <c r="S28" s="97"/>
      <c r="T28" s="18"/>
      <c r="U28" s="18"/>
      <c r="V28" s="20"/>
    </row>
    <row r="29" spans="3:7" ht="12.75">
      <c r="C29" s="103"/>
      <c r="D29" s="108"/>
      <c r="E29" s="108"/>
      <c r="F29" s="108"/>
      <c r="G29" s="108"/>
    </row>
    <row r="30" spans="3:7" ht="26.25">
      <c r="C30" s="104" t="s">
        <v>450</v>
      </c>
      <c r="D30" s="6"/>
      <c r="E30" s="22"/>
      <c r="F30" s="22"/>
      <c r="G30" s="23"/>
    </row>
    <row r="31" spans="4:7" ht="12.75">
      <c r="D31" s="6"/>
      <c r="E31" s="24"/>
      <c r="F31" s="24"/>
      <c r="G31" s="30"/>
    </row>
    <row r="32" spans="3:12" ht="12.75">
      <c r="C32" s="14" t="s">
        <v>455</v>
      </c>
      <c r="D32" s="6"/>
      <c r="E32" s="24"/>
      <c r="F32" s="24"/>
      <c r="G32" s="30"/>
      <c r="K32" s="23"/>
      <c r="L32" s="23"/>
    </row>
    <row r="33" spans="3:7" ht="12.75">
      <c r="C33" s="14" t="s">
        <v>454</v>
      </c>
      <c r="D33" s="6"/>
      <c r="G33" s="11"/>
    </row>
    <row r="34" ht="12.75">
      <c r="C34" s="14" t="s">
        <v>467</v>
      </c>
    </row>
    <row r="35" ht="12.75">
      <c r="C35" s="105" t="s">
        <v>469</v>
      </c>
    </row>
    <row r="36" ht="12.75">
      <c r="C36" s="105" t="s">
        <v>468</v>
      </c>
    </row>
    <row r="37" spans="3:4" ht="12.75">
      <c r="C37" s="14" t="s">
        <v>466</v>
      </c>
      <c r="D37" s="6"/>
    </row>
    <row r="38" ht="12.75">
      <c r="D38" s="14" t="s">
        <v>460</v>
      </c>
    </row>
    <row r="39" ht="12.75">
      <c r="D39" s="14" t="s">
        <v>459</v>
      </c>
    </row>
    <row r="41" ht="12.75">
      <c r="C41" s="146" t="s">
        <v>458</v>
      </c>
    </row>
    <row r="42" ht="12.75">
      <c r="C42" s="14" t="s">
        <v>481</v>
      </c>
    </row>
    <row r="44" ht="12.75">
      <c r="C44" s="14" t="s">
        <v>477</v>
      </c>
    </row>
    <row r="45" ht="12.75">
      <c r="C45" s="14" t="s">
        <v>478</v>
      </c>
    </row>
    <row r="46" ht="12.75">
      <c r="C46" s="14" t="s">
        <v>480</v>
      </c>
    </row>
    <row r="48" ht="12.75">
      <c r="C48" s="14" t="s">
        <v>479</v>
      </c>
    </row>
  </sheetData>
  <sheetProtection/>
  <mergeCells count="77">
    <mergeCell ref="Q15:R15"/>
    <mergeCell ref="E23:G23"/>
    <mergeCell ref="M20:N20"/>
    <mergeCell ref="M21:N21"/>
    <mergeCell ref="C23:D23"/>
    <mergeCell ref="H23:H24"/>
    <mergeCell ref="M22:N22"/>
    <mergeCell ref="M23:N23"/>
    <mergeCell ref="M24:N24"/>
    <mergeCell ref="K22:L22"/>
    <mergeCell ref="K23:L23"/>
    <mergeCell ref="K24:L24"/>
    <mergeCell ref="M25:N25"/>
    <mergeCell ref="M16:N16"/>
    <mergeCell ref="M17:N17"/>
    <mergeCell ref="M18:N18"/>
    <mergeCell ref="M19:N19"/>
    <mergeCell ref="M12:N12"/>
    <mergeCell ref="M13:N13"/>
    <mergeCell ref="M14:N14"/>
    <mergeCell ref="M15:N15"/>
    <mergeCell ref="K25:L25"/>
    <mergeCell ref="C11:D11"/>
    <mergeCell ref="C12:D12"/>
    <mergeCell ref="C13:D13"/>
    <mergeCell ref="K21:L21"/>
    <mergeCell ref="C20:J21"/>
    <mergeCell ref="K12:L12"/>
    <mergeCell ref="K13:L13"/>
    <mergeCell ref="E11:F11"/>
    <mergeCell ref="E12:F12"/>
    <mergeCell ref="J7:J8"/>
    <mergeCell ref="K7:N7"/>
    <mergeCell ref="P7:R7"/>
    <mergeCell ref="M8:N8"/>
    <mergeCell ref="K8:L8"/>
    <mergeCell ref="C2:G2"/>
    <mergeCell ref="C3:G3"/>
    <mergeCell ref="G7:G8"/>
    <mergeCell ref="K14:L14"/>
    <mergeCell ref="C14:D14"/>
    <mergeCell ref="K11:L11"/>
    <mergeCell ref="C8:D8"/>
    <mergeCell ref="E8:F8"/>
    <mergeCell ref="C7:F7"/>
    <mergeCell ref="E13:F13"/>
    <mergeCell ref="C9:D10"/>
    <mergeCell ref="E9:F10"/>
    <mergeCell ref="K9:L10"/>
    <mergeCell ref="G9:G10"/>
    <mergeCell ref="E14:F14"/>
    <mergeCell ref="K18:L18"/>
    <mergeCell ref="K19:L19"/>
    <mergeCell ref="K20:L20"/>
    <mergeCell ref="K15:L15"/>
    <mergeCell ref="K16:L16"/>
    <mergeCell ref="K17:L17"/>
    <mergeCell ref="Q12:R13"/>
    <mergeCell ref="Q14:R14"/>
    <mergeCell ref="P14:P15"/>
    <mergeCell ref="J9:J10"/>
    <mergeCell ref="M9:N10"/>
    <mergeCell ref="P9:P10"/>
    <mergeCell ref="Q9:Q10"/>
    <mergeCell ref="R9:R10"/>
    <mergeCell ref="P12:P13"/>
    <mergeCell ref="M11:N11"/>
    <mergeCell ref="D1:N1"/>
    <mergeCell ref="S12:V13"/>
    <mergeCell ref="S14:V15"/>
    <mergeCell ref="S7:V7"/>
    <mergeCell ref="S9:S10"/>
    <mergeCell ref="T9:T10"/>
    <mergeCell ref="U9:U10"/>
    <mergeCell ref="V9:V10"/>
    <mergeCell ref="H7:I8"/>
    <mergeCell ref="H9:I10"/>
  </mergeCells>
  <conditionalFormatting sqref="R14">
    <cfRule type="expression" priority="1" dxfId="1" stopIfTrue="1">
      <formula>AND(U14&gt;U13,U14&lt;U15)</formula>
    </cfRule>
  </conditionalFormatting>
  <conditionalFormatting sqref="R15">
    <cfRule type="expression" priority="2" dxfId="1" stopIfTrue="1">
      <formula>AND(U14&gt;U13,U14&lt;U15)</formula>
    </cfRule>
  </conditionalFormatting>
  <conditionalFormatting sqref="S14">
    <cfRule type="expression" priority="3" dxfId="1" stopIfTrue="1">
      <formula>AND(W14&gt;W13,W14&lt;W15)</formula>
    </cfRule>
  </conditionalFormatting>
  <conditionalFormatting sqref="U17">
    <cfRule type="expression" priority="4" dxfId="2" stopIfTrue="1">
      <formula>AND(W14&gt;W13,W14&lt;W15)</formula>
    </cfRule>
  </conditionalFormatting>
  <conditionalFormatting sqref="G13">
    <cfRule type="expression" priority="5" dxfId="3" stopIfTrue="1">
      <formula>$G$9&lt;&gt;1</formula>
    </cfRule>
    <cfRule type="expression" priority="6" dxfId="1" stopIfTrue="1">
      <formula>AND(W15&gt;W14,W15&lt;T16)</formula>
    </cfRule>
  </conditionalFormatting>
  <conditionalFormatting sqref="G12">
    <cfRule type="expression" priority="7" dxfId="3" stopIfTrue="1">
      <formula>$G$9&lt;&gt;1</formula>
    </cfRule>
    <cfRule type="expression" priority="8" dxfId="1" stopIfTrue="1">
      <formula>AND(W14&gt;W13,W14&lt;W15)</formula>
    </cfRule>
  </conditionalFormatting>
  <conditionalFormatting sqref="P15">
    <cfRule type="expression" priority="9" dxfId="1" stopIfTrue="1">
      <formula>AND(W15&gt;W14,W15&lt;T16)</formula>
    </cfRule>
  </conditionalFormatting>
  <conditionalFormatting sqref="P14">
    <cfRule type="expression" priority="10" dxfId="1" stopIfTrue="1">
      <formula>AND(W14&gt;W13,W14&lt;W15)</formula>
    </cfRule>
  </conditionalFormatting>
  <conditionalFormatting sqref="Q14">
    <cfRule type="expression" priority="11" dxfId="1" stopIfTrue="1">
      <formula>AND(W14&gt;W13,W14&lt;W15)</formula>
    </cfRule>
  </conditionalFormatting>
  <conditionalFormatting sqref="Q15">
    <cfRule type="expression" priority="12" dxfId="1" stopIfTrue="1">
      <formula>AND(W14&gt;W13,W14&lt;W15)</formula>
    </cfRule>
  </conditionalFormatting>
  <dataValidations count="5">
    <dataValidation type="list" allowBlank="1" showInputMessage="1" showErrorMessage="1" sqref="K9:L9">
      <formula1>Marques_Caméras</formula1>
    </dataValidation>
    <dataValidation type="list" allowBlank="1" showInputMessage="1" showErrorMessage="1" sqref="M9:O9">
      <formula1>INDIRECT($K$9)</formula1>
    </dataValidation>
    <dataValidation type="list" allowBlank="1" showInputMessage="1" showErrorMessage="1" sqref="C9">
      <formula1>Marques_OTA</formula1>
    </dataValidation>
    <dataValidation type="list" allowBlank="1" showInputMessage="1" showErrorMessage="1" sqref="E9:F9">
      <formula1>INDIRECT($C$9)</formula1>
    </dataValidation>
    <dataValidation type="list" allowBlank="1" showInputMessage="1" showErrorMessage="1" sqref="H9:I10">
      <formula1>λ</formula1>
    </dataValidation>
  </dataValidations>
  <hyperlinks>
    <hyperlink ref="C41" r:id="rId1" display="http://fr.wikipedia.org/wiki/Th%C3%A9or%C3%A8me_d%27%C3%A9chantillonnage_de_Nyquist-Shannon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12">
      <selection activeCell="B162" sqref="B162"/>
    </sheetView>
  </sheetViews>
  <sheetFormatPr defaultColWidth="11.421875" defaultRowHeight="12.75"/>
  <cols>
    <col min="1" max="1" width="27.57421875" style="3" customWidth="1"/>
    <col min="2" max="2" width="22.140625" style="1" bestFit="1" customWidth="1"/>
    <col min="3" max="3" width="7.57421875" style="25" bestFit="1" customWidth="1"/>
    <col min="4" max="4" width="7.28125" style="25" bestFit="1" customWidth="1"/>
    <col min="5" max="5" width="5.00390625" style="1" bestFit="1" customWidth="1"/>
    <col min="6" max="6" width="14.421875" style="25" customWidth="1"/>
    <col min="7" max="7" width="11.421875" style="25" customWidth="1"/>
    <col min="8" max="8" width="19.140625" style="25" customWidth="1"/>
    <col min="9" max="9" width="9.00390625" style="25" customWidth="1"/>
    <col min="10" max="16384" width="11.421875" style="25" customWidth="1"/>
  </cols>
  <sheetData>
    <row r="1" spans="1:9" ht="25.5" customHeight="1">
      <c r="A1" s="98" t="s">
        <v>0</v>
      </c>
      <c r="B1" s="99" t="s">
        <v>1</v>
      </c>
      <c r="C1" s="100" t="s">
        <v>212</v>
      </c>
      <c r="D1" s="100" t="s">
        <v>213</v>
      </c>
      <c r="E1" s="100" t="s">
        <v>214</v>
      </c>
      <c r="F1" s="96" t="str">
        <f>"R ('')                    λ = "&amp;VLOOKUP('Champ - Echantillonnage'!$H$9,H2:I12,2,0)&amp;" nm"</f>
        <v>R ('')                    λ = 550 nm</v>
      </c>
      <c r="H1" s="110" t="s">
        <v>463</v>
      </c>
      <c r="I1" s="110" t="s">
        <v>456</v>
      </c>
    </row>
    <row r="2" spans="1:9" ht="12.75" customHeight="1">
      <c r="A2" s="189" t="s">
        <v>215</v>
      </c>
      <c r="B2" s="33" t="s">
        <v>216</v>
      </c>
      <c r="C2" s="34">
        <v>200</v>
      </c>
      <c r="D2" s="34">
        <v>720</v>
      </c>
      <c r="E2" s="34">
        <f aca="true" t="shared" si="0" ref="E2:E7">ROUND(D2/C2,1)</f>
        <v>3.6</v>
      </c>
      <c r="F2" s="117">
        <f>0.25164*VLOOKUP('Champ - Echantillonnage'!$H$9,'Tubes optiques'!$H$2:$I$12,2,0)/C2</f>
        <v>0.6920099999999999</v>
      </c>
      <c r="H2" s="116" t="str">
        <f>"Infrarouge ("&amp;I2&amp;" nm)"</f>
        <v>Infrarouge (800 nm)</v>
      </c>
      <c r="I2" s="111">
        <v>800</v>
      </c>
    </row>
    <row r="3" spans="1:9" ht="12.75" customHeight="1">
      <c r="A3" s="189"/>
      <c r="B3" s="33" t="s">
        <v>217</v>
      </c>
      <c r="C3" s="34">
        <v>250</v>
      </c>
      <c r="D3" s="34">
        <v>900</v>
      </c>
      <c r="E3" s="34">
        <f t="shared" si="0"/>
        <v>3.6</v>
      </c>
      <c r="F3" s="117">
        <f>0.25164*VLOOKUP('Champ - Echantillonnage'!$H$9,'Tubes optiques'!$H$2:$I$12,2,0)/C3</f>
        <v>0.553608</v>
      </c>
      <c r="H3" s="116" t="str">
        <f>"Rouge ("&amp;I3&amp;" nm)"</f>
        <v>Rouge (650 nm)</v>
      </c>
      <c r="I3" s="111">
        <v>650</v>
      </c>
    </row>
    <row r="4" spans="1:9" ht="12.75" customHeight="1">
      <c r="A4" s="189"/>
      <c r="B4" s="33" t="s">
        <v>218</v>
      </c>
      <c r="C4" s="34">
        <v>300</v>
      </c>
      <c r="D4" s="34">
        <v>1080</v>
      </c>
      <c r="E4" s="34">
        <f t="shared" si="0"/>
        <v>3.6</v>
      </c>
      <c r="F4" s="117">
        <f>0.25164*VLOOKUP('Champ - Echantillonnage'!$H$9,'Tubes optiques'!$H$2:$I$12,2,0)/C4</f>
        <v>0.46134</v>
      </c>
      <c r="H4" s="116" t="str">
        <f>"Vert ("&amp;I4&amp;" nm)"</f>
        <v>Vert (550 nm)</v>
      </c>
      <c r="I4" s="111">
        <v>550</v>
      </c>
    </row>
    <row r="5" spans="1:9" ht="12.75" customHeight="1">
      <c r="A5" s="189"/>
      <c r="B5" s="33" t="s">
        <v>219</v>
      </c>
      <c r="C5" s="34">
        <v>400</v>
      </c>
      <c r="D5" s="34">
        <v>1440</v>
      </c>
      <c r="E5" s="34">
        <f t="shared" si="0"/>
        <v>3.6</v>
      </c>
      <c r="F5" s="117">
        <f>0.25164*VLOOKUP('Champ - Echantillonnage'!$H$9,'Tubes optiques'!$H$2:$I$12,2,0)/C5</f>
        <v>0.34600499999999995</v>
      </c>
      <c r="H5" s="116" t="str">
        <f>"Bleu ("&amp;I5&amp;" nm)"</f>
        <v>Bleu (450 nm)</v>
      </c>
      <c r="I5" s="111">
        <v>450</v>
      </c>
    </row>
    <row r="6" spans="1:9" ht="12.75" customHeight="1">
      <c r="A6" s="189"/>
      <c r="B6" s="33" t="s">
        <v>220</v>
      </c>
      <c r="C6" s="34">
        <v>500</v>
      </c>
      <c r="D6" s="34">
        <v>1900</v>
      </c>
      <c r="E6" s="34">
        <f t="shared" si="0"/>
        <v>3.8</v>
      </c>
      <c r="F6" s="117">
        <f>0.25164*VLOOKUP('Champ - Echantillonnage'!$H$9,'Tubes optiques'!$H$2:$I$12,2,0)/C6</f>
        <v>0.276804</v>
      </c>
      <c r="H6" s="116" t="str">
        <f>"Ultraviolet ("&amp;I6&amp;" nm)"</f>
        <v>Ultraviolet (300 nm)</v>
      </c>
      <c r="I6" s="111">
        <v>300</v>
      </c>
    </row>
    <row r="7" spans="1:9" ht="12.75" customHeight="1">
      <c r="A7" s="189" t="s">
        <v>221</v>
      </c>
      <c r="B7" s="35" t="s">
        <v>222</v>
      </c>
      <c r="C7" s="36">
        <v>160</v>
      </c>
      <c r="D7" s="36">
        <v>1200</v>
      </c>
      <c r="E7" s="36">
        <f t="shared" si="0"/>
        <v>7.5</v>
      </c>
      <c r="F7" s="119">
        <f>0.25164*VLOOKUP('Champ - Echantillonnage'!$H$9,'Tubes optiques'!$H$2:$I$12,2,0)/C7</f>
        <v>0.8650125</v>
      </c>
      <c r="H7" s="116" t="str">
        <f>"Hα ("&amp;I7&amp;" nm)"</f>
        <v>Hα (656,3 nm)</v>
      </c>
      <c r="I7" s="114">
        <v>656.3</v>
      </c>
    </row>
    <row r="8" spans="1:9" ht="12.75" customHeight="1">
      <c r="A8" s="189"/>
      <c r="B8" s="35" t="s">
        <v>223</v>
      </c>
      <c r="C8" s="36">
        <v>140</v>
      </c>
      <c r="D8" s="36">
        <v>1050</v>
      </c>
      <c r="E8" s="36">
        <f aca="true" t="shared" si="1" ref="E8:E104">ROUND(D8/C8,1)</f>
        <v>7.5</v>
      </c>
      <c r="F8" s="119">
        <f>0.25164*VLOOKUP('Champ - Echantillonnage'!$H$9,'Tubes optiques'!$H$2:$I$12,2,0)/C8</f>
        <v>0.9885857142857142</v>
      </c>
      <c r="H8" s="116" t="str">
        <f>"Hβ ("&amp;I8&amp;" nm)"</f>
        <v>Hβ (486,1 nm)</v>
      </c>
      <c r="I8" s="114">
        <v>486.1</v>
      </c>
    </row>
    <row r="9" spans="1:9" ht="12.75" customHeight="1">
      <c r="A9" s="189"/>
      <c r="B9" s="35" t="s">
        <v>224</v>
      </c>
      <c r="C9" s="36">
        <v>130</v>
      </c>
      <c r="D9" s="36">
        <v>819</v>
      </c>
      <c r="E9" s="36">
        <f t="shared" si="1"/>
        <v>6.3</v>
      </c>
      <c r="F9" s="119">
        <f>0.25164*VLOOKUP('Champ - Echantillonnage'!$H$9,'Tubes optiques'!$H$2:$I$12,2,0)/C9</f>
        <v>1.064630769230769</v>
      </c>
      <c r="H9" s="116" t="str">
        <f>"Hγ ("&amp;I9&amp;" nm)"</f>
        <v>Hγ (434,1 nm)</v>
      </c>
      <c r="I9" s="114">
        <v>434.1</v>
      </c>
    </row>
    <row r="10" spans="1:9" ht="12.75" customHeight="1">
      <c r="A10" s="189"/>
      <c r="B10" s="35" t="s">
        <v>225</v>
      </c>
      <c r="C10" s="36">
        <v>155</v>
      </c>
      <c r="D10" s="36">
        <v>1395</v>
      </c>
      <c r="E10" s="36">
        <f>ROUND(D10/C10,1)</f>
        <v>9</v>
      </c>
      <c r="F10" s="119">
        <f>0.25164*VLOOKUP('Champ - Echantillonnage'!$H$9,'Tubes optiques'!$H$2:$I$12,2,0)/C10</f>
        <v>0.892916129032258</v>
      </c>
      <c r="H10" s="116" t="str">
        <f>"OIII ("&amp;I10&amp;" nm)"</f>
        <v>OIII (500,7 nm)</v>
      </c>
      <c r="I10" s="111">
        <v>500.7</v>
      </c>
    </row>
    <row r="11" spans="1:9" ht="12.75" customHeight="1">
      <c r="A11" s="189"/>
      <c r="B11" s="35" t="s">
        <v>226</v>
      </c>
      <c r="C11" s="36">
        <v>155</v>
      </c>
      <c r="D11" s="36">
        <v>1085</v>
      </c>
      <c r="E11" s="36">
        <f>ROUND(D11/C11,1)</f>
        <v>7</v>
      </c>
      <c r="F11" s="119">
        <f>0.25164*VLOOKUP('Champ - Echantillonnage'!$H$9,'Tubes optiques'!$H$2:$I$12,2,0)/C11</f>
        <v>0.892916129032258</v>
      </c>
      <c r="H11" s="116" t="str">
        <f>"SII ("&amp;I11&amp;" nm)"</f>
        <v>SII (671,8 nm)</v>
      </c>
      <c r="I11" s="111">
        <v>671.8</v>
      </c>
    </row>
    <row r="12" spans="1:9" ht="12.75" customHeight="1">
      <c r="A12" s="189"/>
      <c r="B12" s="35" t="s">
        <v>227</v>
      </c>
      <c r="C12" s="36">
        <v>130</v>
      </c>
      <c r="D12" s="36">
        <v>780</v>
      </c>
      <c r="E12" s="36">
        <f>ROUND(D12/C12,1)</f>
        <v>6</v>
      </c>
      <c r="F12" s="119">
        <f>0.25164*VLOOKUP('Champ - Echantillonnage'!$H$9,'Tubes optiques'!$H$2:$I$12,2,0)/C12</f>
        <v>1.064630769230769</v>
      </c>
      <c r="H12" s="116" t="s">
        <v>462</v>
      </c>
      <c r="I12" s="10">
        <f>'Champ - Echantillonnage'!H25</f>
        <v>550</v>
      </c>
    </row>
    <row r="13" spans="1:6" ht="12.75" customHeight="1">
      <c r="A13" s="189"/>
      <c r="B13" s="35" t="s">
        <v>228</v>
      </c>
      <c r="C13" s="36">
        <v>130</v>
      </c>
      <c r="D13" s="36">
        <v>1040</v>
      </c>
      <c r="E13" s="36">
        <f>ROUND(D13/C13,1)</f>
        <v>8</v>
      </c>
      <c r="F13" s="119">
        <f>0.25164*VLOOKUP('Champ - Echantillonnage'!$H$9,'Tubes optiques'!$H$2:$I$12,2,0)/C13</f>
        <v>1.064630769230769</v>
      </c>
    </row>
    <row r="14" spans="1:6" ht="12.75" customHeight="1">
      <c r="A14" s="189"/>
      <c r="B14" s="35" t="s">
        <v>229</v>
      </c>
      <c r="C14" s="36">
        <v>105</v>
      </c>
      <c r="D14" s="36">
        <v>819</v>
      </c>
      <c r="E14" s="36">
        <f>ROUND(D14/C14,1)</f>
        <v>7.8</v>
      </c>
      <c r="F14" s="119">
        <f>0.25164*VLOOKUP('Champ - Echantillonnage'!$H$9,'Tubes optiques'!$H$2:$I$12,2,0)/C14</f>
        <v>1.3181142857142856</v>
      </c>
    </row>
    <row r="15" spans="1:6" ht="12.75" customHeight="1">
      <c r="A15" s="189"/>
      <c r="B15" s="35" t="s">
        <v>230</v>
      </c>
      <c r="C15" s="36">
        <v>305</v>
      </c>
      <c r="D15" s="36">
        <v>1159</v>
      </c>
      <c r="E15" s="36">
        <f t="shared" si="1"/>
        <v>3.8</v>
      </c>
      <c r="F15" s="119">
        <f>0.25164*VLOOKUP('Champ - Echantillonnage'!$H$9,'Tubes optiques'!$H$2:$I$12,2,0)/C15</f>
        <v>0.45377704918032785</v>
      </c>
    </row>
    <row r="16" spans="1:6" ht="12.75" customHeight="1">
      <c r="A16" s="192" t="s">
        <v>416</v>
      </c>
      <c r="B16" s="93" t="s">
        <v>419</v>
      </c>
      <c r="C16" s="92">
        <v>65</v>
      </c>
      <c r="D16" s="92">
        <v>420</v>
      </c>
      <c r="E16" s="92">
        <f t="shared" si="1"/>
        <v>6.5</v>
      </c>
      <c r="F16" s="120">
        <f>0.25164*VLOOKUP('Champ - Echantillonnage'!$H$9,'Tubes optiques'!$H$2:$I$12,2,0)/C16</f>
        <v>2.129261538461538</v>
      </c>
    </row>
    <row r="17" spans="1:6" ht="12.75" customHeight="1">
      <c r="A17" s="192"/>
      <c r="B17" s="93" t="s">
        <v>420</v>
      </c>
      <c r="C17" s="92">
        <v>72</v>
      </c>
      <c r="D17" s="92">
        <v>430</v>
      </c>
      <c r="E17" s="92">
        <f t="shared" si="1"/>
        <v>6</v>
      </c>
      <c r="F17" s="120">
        <f>0.25164*VLOOKUP('Champ - Echantillonnage'!$H$9,'Tubes optiques'!$H$2:$I$12,2,0)/C17</f>
        <v>1.9222499999999998</v>
      </c>
    </row>
    <row r="18" spans="1:6" ht="12.75" customHeight="1">
      <c r="A18" s="192"/>
      <c r="B18" s="93" t="s">
        <v>417</v>
      </c>
      <c r="C18" s="92">
        <v>80</v>
      </c>
      <c r="D18" s="92">
        <v>480</v>
      </c>
      <c r="E18" s="92">
        <f aca="true" t="shared" si="2" ref="E18:E25">ROUND(D18/C18,1)</f>
        <v>6</v>
      </c>
      <c r="F18" s="120">
        <f>0.25164*VLOOKUP('Champ - Echantillonnage'!$H$9,'Tubes optiques'!$H$2:$I$12,2,0)/C18</f>
        <v>1.730025</v>
      </c>
    </row>
    <row r="19" spans="1:6" ht="12.75" customHeight="1">
      <c r="A19" s="192"/>
      <c r="B19" s="93" t="s">
        <v>421</v>
      </c>
      <c r="C19" s="92">
        <v>90</v>
      </c>
      <c r="D19" s="92">
        <v>600</v>
      </c>
      <c r="E19" s="92">
        <f t="shared" si="2"/>
        <v>6.7</v>
      </c>
      <c r="F19" s="120">
        <f>0.25164*VLOOKUP('Champ - Echantillonnage'!$H$9,'Tubes optiques'!$H$2:$I$12,2,0)/C19</f>
        <v>1.5377999999999998</v>
      </c>
    </row>
    <row r="20" spans="1:6" ht="12.75" customHeight="1">
      <c r="A20" s="192"/>
      <c r="B20" s="93" t="s">
        <v>422</v>
      </c>
      <c r="C20" s="92">
        <v>106</v>
      </c>
      <c r="D20" s="92">
        <v>690</v>
      </c>
      <c r="E20" s="92">
        <f t="shared" si="2"/>
        <v>6.5</v>
      </c>
      <c r="F20" s="120">
        <f>0.25164*VLOOKUP('Champ - Echantillonnage'!$H$9,'Tubes optiques'!$H$2:$I$12,2,0)/C20</f>
        <v>1.3056792452830188</v>
      </c>
    </row>
    <row r="21" spans="1:6" ht="12.75" customHeight="1">
      <c r="A21" s="192"/>
      <c r="B21" s="93" t="s">
        <v>423</v>
      </c>
      <c r="C21" s="92">
        <v>111</v>
      </c>
      <c r="D21" s="92">
        <v>777</v>
      </c>
      <c r="E21" s="92">
        <f t="shared" si="2"/>
        <v>7</v>
      </c>
      <c r="F21" s="120">
        <f>0.25164*VLOOKUP('Champ - Echantillonnage'!$H$9,'Tubes optiques'!$H$2:$I$12,2,0)/C21</f>
        <v>1.2468648648648648</v>
      </c>
    </row>
    <row r="22" spans="1:6" ht="12.75" customHeight="1">
      <c r="A22" s="192"/>
      <c r="B22" s="93" t="s">
        <v>424</v>
      </c>
      <c r="C22" s="92">
        <v>130</v>
      </c>
      <c r="D22" s="92">
        <v>780</v>
      </c>
      <c r="E22" s="92">
        <f t="shared" si="2"/>
        <v>6</v>
      </c>
      <c r="F22" s="120">
        <f>0.25164*VLOOKUP('Champ - Echantillonnage'!$H$9,'Tubes optiques'!$H$2:$I$12,2,0)/C22</f>
        <v>1.064630769230769</v>
      </c>
    </row>
    <row r="23" spans="1:6" ht="12.75" customHeight="1">
      <c r="A23" s="192"/>
      <c r="B23" s="93" t="s">
        <v>428</v>
      </c>
      <c r="C23" s="92">
        <v>152</v>
      </c>
      <c r="D23" s="92">
        <v>1370</v>
      </c>
      <c r="E23" s="92">
        <f t="shared" si="2"/>
        <v>9</v>
      </c>
      <c r="F23" s="120">
        <f>0.25164*VLOOKUP('Champ - Echantillonnage'!$H$9,'Tubes optiques'!$H$2:$I$12,2,0)/C23</f>
        <v>0.9105394736842104</v>
      </c>
    </row>
    <row r="24" spans="1:6" ht="12.75" customHeight="1">
      <c r="A24" s="192"/>
      <c r="B24" s="93" t="s">
        <v>425</v>
      </c>
      <c r="C24" s="92">
        <v>203</v>
      </c>
      <c r="D24" s="92">
        <v>1625</v>
      </c>
      <c r="E24" s="92">
        <f t="shared" si="2"/>
        <v>8</v>
      </c>
      <c r="F24" s="120">
        <f>0.25164*VLOOKUP('Champ - Echantillonnage'!$H$9,'Tubes optiques'!$H$2:$I$12,2,0)/C24</f>
        <v>0.681783251231527</v>
      </c>
    </row>
    <row r="25" spans="1:6" ht="12.75" customHeight="1">
      <c r="A25" s="192"/>
      <c r="B25" s="93" t="s">
        <v>426</v>
      </c>
      <c r="C25" s="92">
        <v>250</v>
      </c>
      <c r="D25" s="92">
        <v>2000</v>
      </c>
      <c r="E25" s="92">
        <f t="shared" si="2"/>
        <v>8</v>
      </c>
      <c r="F25" s="120">
        <f>0.25164*VLOOKUP('Champ - Echantillonnage'!$H$9,'Tubes optiques'!$H$2:$I$12,2,0)/C25</f>
        <v>0.553608</v>
      </c>
    </row>
    <row r="26" spans="1:6" ht="12.75" customHeight="1">
      <c r="A26" s="189" t="s">
        <v>231</v>
      </c>
      <c r="B26" s="43" t="s">
        <v>418</v>
      </c>
      <c r="C26" s="44">
        <v>80</v>
      </c>
      <c r="D26" s="44">
        <v>500</v>
      </c>
      <c r="E26" s="44">
        <f t="shared" si="1"/>
        <v>6.3</v>
      </c>
      <c r="F26" s="121">
        <f>0.25164*VLOOKUP('Champ - Echantillonnage'!$H$9,'Tubes optiques'!$H$2:$I$12,2,0)/C26</f>
        <v>1.730025</v>
      </c>
    </row>
    <row r="27" spans="1:6" ht="12.75" customHeight="1">
      <c r="A27" s="189"/>
      <c r="B27" s="43" t="s">
        <v>401</v>
      </c>
      <c r="C27" s="44">
        <v>203</v>
      </c>
      <c r="D27" s="44">
        <v>2032</v>
      </c>
      <c r="E27" s="44">
        <f>ROUND(D27/C27,1)</f>
        <v>10</v>
      </c>
      <c r="F27" s="121">
        <f>0.25164*VLOOKUP('Champ - Echantillonnage'!$H$9,'Tubes optiques'!$H$2:$I$12,2,0)/C27</f>
        <v>0.681783251231527</v>
      </c>
    </row>
    <row r="28" spans="1:6" ht="12.75" customHeight="1">
      <c r="A28" s="189"/>
      <c r="B28" s="43" t="s">
        <v>402</v>
      </c>
      <c r="C28" s="44">
        <v>235</v>
      </c>
      <c r="D28" s="44">
        <v>2350</v>
      </c>
      <c r="E28" s="44">
        <f t="shared" si="1"/>
        <v>10</v>
      </c>
      <c r="F28" s="121">
        <f>0.25164*VLOOKUP('Champ - Echantillonnage'!$H$9,'Tubes optiques'!$H$2:$I$12,2,0)/C28</f>
        <v>0.5889446808510638</v>
      </c>
    </row>
    <row r="29" spans="1:6" ht="12.75" customHeight="1">
      <c r="A29" s="189"/>
      <c r="B29" s="43" t="s">
        <v>403</v>
      </c>
      <c r="C29" s="44">
        <v>280</v>
      </c>
      <c r="D29" s="44">
        <v>2800</v>
      </c>
      <c r="E29" s="44">
        <f t="shared" si="1"/>
        <v>10</v>
      </c>
      <c r="F29" s="121">
        <f>0.25164*VLOOKUP('Champ - Echantillonnage'!$H$9,'Tubes optiques'!$H$2:$I$12,2,0)/C29</f>
        <v>0.4942928571428571</v>
      </c>
    </row>
    <row r="30" spans="1:6" ht="12.75" customHeight="1">
      <c r="A30" s="189"/>
      <c r="B30" s="43" t="s">
        <v>404</v>
      </c>
      <c r="C30" s="44">
        <v>355</v>
      </c>
      <c r="D30" s="44">
        <v>3910</v>
      </c>
      <c r="E30" s="44">
        <f t="shared" si="1"/>
        <v>11</v>
      </c>
      <c r="F30" s="121">
        <f>0.25164*VLOOKUP('Champ - Echantillonnage'!$H$9,'Tubes optiques'!$H$2:$I$12,2,0)/C30</f>
        <v>0.38986478873239433</v>
      </c>
    </row>
    <row r="31" spans="1:6" ht="12.75" customHeight="1">
      <c r="A31" s="192" t="s">
        <v>446</v>
      </c>
      <c r="B31" s="35" t="s">
        <v>428</v>
      </c>
      <c r="C31" s="36">
        <v>152</v>
      </c>
      <c r="D31" s="36">
        <v>1370</v>
      </c>
      <c r="E31" s="36">
        <f t="shared" si="1"/>
        <v>9</v>
      </c>
      <c r="F31" s="119">
        <f>0.25164*VLOOKUP('Champ - Echantillonnage'!$H$9,'Tubes optiques'!$H$2:$I$12,2,0)/C31</f>
        <v>0.9105394736842104</v>
      </c>
    </row>
    <row r="32" spans="1:6" ht="12.75" customHeight="1">
      <c r="A32" s="192"/>
      <c r="B32" s="35" t="s">
        <v>425</v>
      </c>
      <c r="C32" s="36">
        <v>203</v>
      </c>
      <c r="D32" s="36">
        <v>1624</v>
      </c>
      <c r="E32" s="36">
        <f t="shared" si="1"/>
        <v>8</v>
      </c>
      <c r="F32" s="119">
        <f>0.25164*VLOOKUP('Champ - Echantillonnage'!$H$9,'Tubes optiques'!$H$2:$I$12,2,0)/C32</f>
        <v>0.681783251231527</v>
      </c>
    </row>
    <row r="33" spans="1:6" ht="12.75" customHeight="1">
      <c r="A33" s="192"/>
      <c r="B33" s="35" t="s">
        <v>426</v>
      </c>
      <c r="C33" s="36">
        <v>254</v>
      </c>
      <c r="D33" s="36">
        <v>2000</v>
      </c>
      <c r="E33" s="36">
        <f t="shared" si="1"/>
        <v>7.9</v>
      </c>
      <c r="F33" s="119">
        <f>0.25164*VLOOKUP('Champ - Echantillonnage'!$H$9,'Tubes optiques'!$H$2:$I$12,2,0)/C33</f>
        <v>0.5448897637795275</v>
      </c>
    </row>
    <row r="34" spans="1:6" ht="12.75" customHeight="1">
      <c r="A34" s="192"/>
      <c r="B34" s="35" t="s">
        <v>427</v>
      </c>
      <c r="C34" s="36">
        <v>305</v>
      </c>
      <c r="D34" s="36">
        <v>2432</v>
      </c>
      <c r="E34" s="36">
        <f t="shared" si="1"/>
        <v>8</v>
      </c>
      <c r="F34" s="119">
        <f>0.25164*VLOOKUP('Champ - Echantillonnage'!$H$9,'Tubes optiques'!$H$2:$I$12,2,0)/C34</f>
        <v>0.45377704918032785</v>
      </c>
    </row>
    <row r="35" spans="1:6" ht="12.75" customHeight="1">
      <c r="A35" s="189" t="s">
        <v>232</v>
      </c>
      <c r="B35" s="37" t="s">
        <v>233</v>
      </c>
      <c r="C35" s="38">
        <v>203</v>
      </c>
      <c r="D35" s="38">
        <v>2000</v>
      </c>
      <c r="E35" s="38">
        <f t="shared" si="1"/>
        <v>9.9</v>
      </c>
      <c r="F35" s="122">
        <f>0.25164*VLOOKUP('Champ - Echantillonnage'!$H$9,'Tubes optiques'!$H$2:$I$12,2,0)/C35</f>
        <v>0.681783251231527</v>
      </c>
    </row>
    <row r="36" spans="1:6" ht="12.75" customHeight="1">
      <c r="A36" s="189"/>
      <c r="B36" s="37" t="s">
        <v>234</v>
      </c>
      <c r="C36" s="38">
        <v>254</v>
      </c>
      <c r="D36" s="38">
        <v>2500</v>
      </c>
      <c r="E36" s="38">
        <f t="shared" si="1"/>
        <v>9.8</v>
      </c>
      <c r="F36" s="122">
        <f>0.25164*VLOOKUP('Champ - Echantillonnage'!$H$9,'Tubes optiques'!$H$2:$I$12,2,0)/C36</f>
        <v>0.5448897637795275</v>
      </c>
    </row>
    <row r="37" spans="1:6" ht="12.75" customHeight="1">
      <c r="A37" s="189"/>
      <c r="B37" s="37" t="s">
        <v>235</v>
      </c>
      <c r="C37" s="38">
        <v>305</v>
      </c>
      <c r="D37" s="38">
        <v>3048</v>
      </c>
      <c r="E37" s="38">
        <f t="shared" si="1"/>
        <v>10</v>
      </c>
      <c r="F37" s="122">
        <f>0.25164*VLOOKUP('Champ - Echantillonnage'!$H$9,'Tubes optiques'!$H$2:$I$12,2,0)/C37</f>
        <v>0.45377704918032785</v>
      </c>
    </row>
    <row r="38" spans="1:6" ht="12.75" customHeight="1">
      <c r="A38" s="189"/>
      <c r="B38" s="37" t="s">
        <v>236</v>
      </c>
      <c r="C38" s="38">
        <v>355</v>
      </c>
      <c r="D38" s="38">
        <v>3556</v>
      </c>
      <c r="E38" s="38">
        <f t="shared" si="1"/>
        <v>10</v>
      </c>
      <c r="F38" s="122">
        <f>0.25164*VLOOKUP('Champ - Echantillonnage'!$H$9,'Tubes optiques'!$H$2:$I$12,2,0)/C38</f>
        <v>0.38986478873239433</v>
      </c>
    </row>
    <row r="39" spans="1:6" ht="12.75" customHeight="1">
      <c r="A39" s="189"/>
      <c r="B39" s="37" t="s">
        <v>237</v>
      </c>
      <c r="C39" s="38">
        <v>406</v>
      </c>
      <c r="D39" s="38">
        <v>4064</v>
      </c>
      <c r="E39" s="38">
        <f t="shared" si="1"/>
        <v>10</v>
      </c>
      <c r="F39" s="122">
        <f>0.25164*VLOOKUP('Champ - Echantillonnage'!$H$9,'Tubes optiques'!$H$2:$I$12,2,0)/C39</f>
        <v>0.3408916256157635</v>
      </c>
    </row>
    <row r="40" spans="1:6" ht="12.75" customHeight="1">
      <c r="A40" s="189"/>
      <c r="B40" s="37" t="s">
        <v>238</v>
      </c>
      <c r="C40" s="38">
        <v>203</v>
      </c>
      <c r="D40" s="38">
        <v>2034</v>
      </c>
      <c r="E40" s="38">
        <f t="shared" si="1"/>
        <v>10</v>
      </c>
      <c r="F40" s="122">
        <f>0.25164*VLOOKUP('Champ - Echantillonnage'!$H$9,'Tubes optiques'!$H$2:$I$12,2,0)/C40</f>
        <v>0.681783251231527</v>
      </c>
    </row>
    <row r="41" spans="1:6" ht="12.75" customHeight="1">
      <c r="A41" s="189"/>
      <c r="B41" s="37" t="s">
        <v>239</v>
      </c>
      <c r="C41" s="38">
        <v>254</v>
      </c>
      <c r="D41" s="38">
        <v>2540</v>
      </c>
      <c r="E41" s="38">
        <f t="shared" si="1"/>
        <v>10</v>
      </c>
      <c r="F41" s="122">
        <f>0.25164*VLOOKUP('Champ - Echantillonnage'!$H$9,'Tubes optiques'!$H$2:$I$12,2,0)/C41</f>
        <v>0.5448897637795275</v>
      </c>
    </row>
    <row r="42" spans="1:6" ht="12.75" customHeight="1">
      <c r="A42" s="189"/>
      <c r="B42" s="37" t="s">
        <v>240</v>
      </c>
      <c r="C42" s="38">
        <v>305</v>
      </c>
      <c r="D42" s="38">
        <v>3048</v>
      </c>
      <c r="E42" s="38">
        <f t="shared" si="1"/>
        <v>10</v>
      </c>
      <c r="F42" s="122">
        <f>0.25164*VLOOKUP('Champ - Echantillonnage'!$H$9,'Tubes optiques'!$H$2:$I$12,2,0)/C42</f>
        <v>0.45377704918032785</v>
      </c>
    </row>
    <row r="43" spans="1:6" ht="12.75" customHeight="1">
      <c r="A43" s="192" t="s">
        <v>429</v>
      </c>
      <c r="B43" s="94" t="s">
        <v>432</v>
      </c>
      <c r="C43" s="95">
        <v>80</v>
      </c>
      <c r="D43" s="95">
        <v>480</v>
      </c>
      <c r="E43" s="95">
        <f t="shared" si="1"/>
        <v>6</v>
      </c>
      <c r="F43" s="117">
        <f>0.25164*VLOOKUP('Champ - Echantillonnage'!$H$9,'Tubes optiques'!$H$2:$I$12,2,0)/C43</f>
        <v>1.730025</v>
      </c>
    </row>
    <row r="44" spans="1:6" ht="12.75" customHeight="1">
      <c r="A44" s="192"/>
      <c r="B44" s="94" t="s">
        <v>433</v>
      </c>
      <c r="C44" s="95">
        <v>105</v>
      </c>
      <c r="D44" s="95">
        <v>650</v>
      </c>
      <c r="E44" s="95">
        <f t="shared" si="1"/>
        <v>6.2</v>
      </c>
      <c r="F44" s="117">
        <f>0.25164*VLOOKUP('Champ - Echantillonnage'!$H$9,'Tubes optiques'!$H$2:$I$12,2,0)/C44</f>
        <v>1.3181142857142856</v>
      </c>
    </row>
    <row r="45" spans="1:6" ht="12.75" customHeight="1">
      <c r="A45" s="192"/>
      <c r="B45" s="94" t="s">
        <v>434</v>
      </c>
      <c r="C45" s="95">
        <v>115</v>
      </c>
      <c r="D45" s="95">
        <v>805</v>
      </c>
      <c r="E45" s="95">
        <f t="shared" si="1"/>
        <v>7</v>
      </c>
      <c r="F45" s="117">
        <f>0.25164*VLOOKUP('Champ - Echantillonnage'!$H$9,'Tubes optiques'!$H$2:$I$12,2,0)/C45</f>
        <v>1.2034956521739129</v>
      </c>
    </row>
    <row r="46" spans="1:6" ht="12.75" customHeight="1">
      <c r="A46" s="192"/>
      <c r="B46" s="94" t="s">
        <v>435</v>
      </c>
      <c r="C46" s="95">
        <v>130</v>
      </c>
      <c r="D46" s="95">
        <v>780</v>
      </c>
      <c r="E46" s="95">
        <f t="shared" si="1"/>
        <v>6</v>
      </c>
      <c r="F46" s="117">
        <f>0.25164*VLOOKUP('Champ - Echantillonnage'!$H$9,'Tubes optiques'!$H$2:$I$12,2,0)/C46</f>
        <v>1.064630769230769</v>
      </c>
    </row>
    <row r="47" spans="1:6" ht="12.75" customHeight="1">
      <c r="A47" s="192"/>
      <c r="B47" s="94" t="s">
        <v>436</v>
      </c>
      <c r="C47" s="95">
        <v>152</v>
      </c>
      <c r="D47" s="95">
        <v>1200</v>
      </c>
      <c r="E47" s="95">
        <f t="shared" si="1"/>
        <v>7.9</v>
      </c>
      <c r="F47" s="117">
        <f>0.25164*VLOOKUP('Champ - Echantillonnage'!$H$9,'Tubes optiques'!$H$2:$I$12,2,0)/C47</f>
        <v>0.9105394736842104</v>
      </c>
    </row>
    <row r="48" spans="1:6" ht="12.75" customHeight="1">
      <c r="A48" s="192"/>
      <c r="B48" s="94" t="s">
        <v>437</v>
      </c>
      <c r="C48" s="95">
        <v>180</v>
      </c>
      <c r="D48" s="95">
        <v>1260</v>
      </c>
      <c r="E48" s="95">
        <f t="shared" si="1"/>
        <v>7</v>
      </c>
      <c r="F48" s="117">
        <f>0.25164*VLOOKUP('Champ - Echantillonnage'!$H$9,'Tubes optiques'!$H$2:$I$12,2,0)/C48</f>
        <v>0.7688999999999999</v>
      </c>
    </row>
    <row r="49" spans="1:6" ht="12.75" customHeight="1">
      <c r="A49" s="192"/>
      <c r="B49" s="94" t="s">
        <v>438</v>
      </c>
      <c r="C49" s="95">
        <v>312</v>
      </c>
      <c r="D49" s="95">
        <v>1680</v>
      </c>
      <c r="E49" s="95">
        <f t="shared" si="1"/>
        <v>5.4</v>
      </c>
      <c r="F49" s="117">
        <f>0.25164*VLOOKUP('Champ - Echantillonnage'!$H$9,'Tubes optiques'!$H$2:$I$12,2,0)/C49</f>
        <v>0.4435961538461538</v>
      </c>
    </row>
    <row r="50" spans="1:6" ht="12.75" customHeight="1">
      <c r="A50" s="192"/>
      <c r="B50" s="94" t="s">
        <v>439</v>
      </c>
      <c r="C50" s="95">
        <v>200</v>
      </c>
      <c r="D50" s="95">
        <v>600</v>
      </c>
      <c r="E50" s="95">
        <f t="shared" si="1"/>
        <v>3</v>
      </c>
      <c r="F50" s="117">
        <f>0.25164*VLOOKUP('Champ - Echantillonnage'!$H$9,'Tubes optiques'!$H$2:$I$12,2,0)/C50</f>
        <v>0.6920099999999999</v>
      </c>
    </row>
    <row r="51" spans="1:6" ht="12.75" customHeight="1">
      <c r="A51" s="192"/>
      <c r="B51" s="94" t="s">
        <v>445</v>
      </c>
      <c r="C51" s="95">
        <v>300</v>
      </c>
      <c r="D51" s="95">
        <v>900</v>
      </c>
      <c r="E51" s="95">
        <f t="shared" si="1"/>
        <v>3</v>
      </c>
      <c r="F51" s="117">
        <f>0.25164*VLOOKUP('Champ - Echantillonnage'!$H$9,'Tubes optiques'!$H$2:$I$12,2,0)/C51</f>
        <v>0.46134</v>
      </c>
    </row>
    <row r="52" spans="1:6" ht="12.75" customHeight="1">
      <c r="A52" s="192"/>
      <c r="B52" s="94" t="s">
        <v>440</v>
      </c>
      <c r="C52" s="95">
        <v>250</v>
      </c>
      <c r="D52" s="95">
        <v>3125</v>
      </c>
      <c r="E52" s="95">
        <f t="shared" si="1"/>
        <v>12.5</v>
      </c>
      <c r="F52" s="117">
        <f>0.25164*VLOOKUP('Champ - Echantillonnage'!$H$9,'Tubes optiques'!$H$2:$I$12,2,0)/C52</f>
        <v>0.553608</v>
      </c>
    </row>
    <row r="53" spans="1:6" ht="12.75" customHeight="1">
      <c r="A53" s="192"/>
      <c r="B53" s="94" t="s">
        <v>441</v>
      </c>
      <c r="C53" s="95">
        <v>250</v>
      </c>
      <c r="D53" s="95">
        <v>2000</v>
      </c>
      <c r="E53" s="95">
        <f t="shared" si="1"/>
        <v>8</v>
      </c>
      <c r="F53" s="117">
        <f>0.25164*VLOOKUP('Champ - Echantillonnage'!$H$9,'Tubes optiques'!$H$2:$I$12,2,0)/C53</f>
        <v>0.553608</v>
      </c>
    </row>
    <row r="54" spans="1:6" ht="12.75" customHeight="1">
      <c r="A54" s="192"/>
      <c r="B54" s="94" t="s">
        <v>442</v>
      </c>
      <c r="C54" s="95">
        <v>320</v>
      </c>
      <c r="D54" s="95">
        <v>2560</v>
      </c>
      <c r="E54" s="95">
        <f t="shared" si="1"/>
        <v>8</v>
      </c>
      <c r="F54" s="117">
        <f>0.25164*VLOOKUP('Champ - Echantillonnage'!$H$9,'Tubes optiques'!$H$2:$I$12,2,0)/C54</f>
        <v>0.43250625</v>
      </c>
    </row>
    <row r="55" spans="1:6" ht="12.75" customHeight="1">
      <c r="A55" s="192"/>
      <c r="B55" s="94" t="s">
        <v>444</v>
      </c>
      <c r="C55" s="95">
        <v>360</v>
      </c>
      <c r="D55" s="95">
        <v>2880</v>
      </c>
      <c r="E55" s="95">
        <f t="shared" si="1"/>
        <v>8</v>
      </c>
      <c r="F55" s="117">
        <f>0.25164*VLOOKUP('Champ - Echantillonnage'!$H$9,'Tubes optiques'!$H$2:$I$12,2,0)/C55</f>
        <v>0.38444999999999996</v>
      </c>
    </row>
    <row r="56" spans="1:6" ht="12.75" customHeight="1">
      <c r="A56" s="192"/>
      <c r="B56" s="94" t="s">
        <v>443</v>
      </c>
      <c r="C56" s="95">
        <v>400</v>
      </c>
      <c r="D56" s="95">
        <v>3200</v>
      </c>
      <c r="E56" s="95">
        <f t="shared" si="1"/>
        <v>8</v>
      </c>
      <c r="F56" s="117">
        <f>0.25164*VLOOKUP('Champ - Echantillonnage'!$H$9,'Tubes optiques'!$H$2:$I$12,2,0)/C56</f>
        <v>0.34600499999999995</v>
      </c>
    </row>
    <row r="57" spans="1:6" ht="12.75" customHeight="1">
      <c r="A57" s="192"/>
      <c r="B57" s="94" t="s">
        <v>443</v>
      </c>
      <c r="C57" s="95">
        <v>500</v>
      </c>
      <c r="D57" s="95">
        <v>4000</v>
      </c>
      <c r="E57" s="95">
        <f t="shared" si="1"/>
        <v>8</v>
      </c>
      <c r="F57" s="117">
        <f>0.25164*VLOOKUP('Champ - Echantillonnage'!$H$9,'Tubes optiques'!$H$2:$I$12,2,0)/C57</f>
        <v>0.276804</v>
      </c>
    </row>
    <row r="58" spans="1:6" ht="12.75" customHeight="1">
      <c r="A58" s="192"/>
      <c r="B58" s="94" t="s">
        <v>443</v>
      </c>
      <c r="C58" s="95">
        <v>600</v>
      </c>
      <c r="D58" s="95">
        <v>4800</v>
      </c>
      <c r="E58" s="95">
        <f t="shared" si="1"/>
        <v>8</v>
      </c>
      <c r="F58" s="117">
        <f>0.25164*VLOOKUP('Champ - Echantillonnage'!$H$9,'Tubes optiques'!$H$2:$I$12,2,0)/C58</f>
        <v>0.23067</v>
      </c>
    </row>
    <row r="59" spans="1:6" ht="12.75" customHeight="1">
      <c r="A59" s="189" t="s">
        <v>241</v>
      </c>
      <c r="B59" s="39" t="s">
        <v>242</v>
      </c>
      <c r="C59" s="40">
        <v>80</v>
      </c>
      <c r="D59" s="40">
        <v>600</v>
      </c>
      <c r="E59" s="40">
        <f t="shared" si="1"/>
        <v>7.5</v>
      </c>
      <c r="F59" s="120">
        <f>0.25164*VLOOKUP('Champ - Echantillonnage'!$H$9,'Tubes optiques'!$H$2:$I$12,2,0)/C59</f>
        <v>1.730025</v>
      </c>
    </row>
    <row r="60" spans="1:6" ht="12.75" customHeight="1">
      <c r="A60" s="189"/>
      <c r="B60" s="39" t="s">
        <v>243</v>
      </c>
      <c r="C60" s="40">
        <v>80</v>
      </c>
      <c r="D60" s="40">
        <v>480</v>
      </c>
      <c r="E60" s="40">
        <f t="shared" si="1"/>
        <v>6</v>
      </c>
      <c r="F60" s="120">
        <f>0.25164*VLOOKUP('Champ - Echantillonnage'!$H$9,'Tubes optiques'!$H$2:$I$12,2,0)/C60</f>
        <v>1.730025</v>
      </c>
    </row>
    <row r="61" spans="1:6" ht="12.75" customHeight="1">
      <c r="A61" s="189"/>
      <c r="B61" s="39" t="s">
        <v>244</v>
      </c>
      <c r="C61" s="40">
        <v>100</v>
      </c>
      <c r="D61" s="40">
        <v>900</v>
      </c>
      <c r="E61" s="40">
        <f t="shared" si="1"/>
        <v>9</v>
      </c>
      <c r="F61" s="120">
        <f>0.25164*VLOOKUP('Champ - Echantillonnage'!$H$9,'Tubes optiques'!$H$2:$I$12,2,0)/C61</f>
        <v>1.3840199999999998</v>
      </c>
    </row>
    <row r="62" spans="1:6" ht="12.75" customHeight="1">
      <c r="A62" s="189"/>
      <c r="B62" s="39" t="s">
        <v>245</v>
      </c>
      <c r="C62" s="40">
        <v>102</v>
      </c>
      <c r="D62" s="40">
        <v>714</v>
      </c>
      <c r="E62" s="40">
        <f t="shared" si="1"/>
        <v>7</v>
      </c>
      <c r="F62" s="120">
        <f>0.25164*VLOOKUP('Champ - Echantillonnage'!$H$9,'Tubes optiques'!$H$2:$I$12,2,0)/C62</f>
        <v>1.3568823529411764</v>
      </c>
    </row>
    <row r="63" spans="1:6" ht="12.75" customHeight="1">
      <c r="A63" s="189"/>
      <c r="B63" s="39" t="s">
        <v>246</v>
      </c>
      <c r="C63" s="40">
        <v>254</v>
      </c>
      <c r="D63" s="40">
        <v>1000</v>
      </c>
      <c r="E63" s="40">
        <f t="shared" si="1"/>
        <v>3.9</v>
      </c>
      <c r="F63" s="120">
        <f>0.25164*VLOOKUP('Champ - Echantillonnage'!$H$9,'Tubes optiques'!$H$2:$I$12,2,0)/C63</f>
        <v>0.5448897637795275</v>
      </c>
    </row>
    <row r="64" spans="1:6" ht="12.75" customHeight="1">
      <c r="A64" s="189"/>
      <c r="B64" s="39" t="s">
        <v>247</v>
      </c>
      <c r="C64" s="40">
        <v>90</v>
      </c>
      <c r="D64" s="40">
        <v>1250</v>
      </c>
      <c r="E64" s="40">
        <f t="shared" si="1"/>
        <v>13.9</v>
      </c>
      <c r="F64" s="120">
        <f>0.25164*VLOOKUP('Champ - Echantillonnage'!$H$9,'Tubes optiques'!$H$2:$I$12,2,0)/C64</f>
        <v>1.5377999999999998</v>
      </c>
    </row>
    <row r="65" spans="1:6" ht="12.75" customHeight="1">
      <c r="A65" s="189"/>
      <c r="B65" s="39" t="s">
        <v>248</v>
      </c>
      <c r="C65" s="40">
        <v>102</v>
      </c>
      <c r="D65" s="40">
        <v>1300</v>
      </c>
      <c r="E65" s="40">
        <f t="shared" si="1"/>
        <v>12.7</v>
      </c>
      <c r="F65" s="120">
        <f>0.25164*VLOOKUP('Champ - Echantillonnage'!$H$9,'Tubes optiques'!$H$2:$I$12,2,0)/C65</f>
        <v>1.3568823529411764</v>
      </c>
    </row>
    <row r="66" spans="1:6" ht="12.75" customHeight="1">
      <c r="A66" s="189"/>
      <c r="B66" s="39" t="s">
        <v>249</v>
      </c>
      <c r="C66" s="40">
        <v>127</v>
      </c>
      <c r="D66" s="40">
        <v>1540</v>
      </c>
      <c r="E66" s="40">
        <f t="shared" si="1"/>
        <v>12.1</v>
      </c>
      <c r="F66" s="120">
        <f>0.25164*VLOOKUP('Champ - Echantillonnage'!$H$9,'Tubes optiques'!$H$2:$I$12,2,0)/C66</f>
        <v>1.089779527559055</v>
      </c>
    </row>
    <row r="67" spans="1:6" ht="12.75" customHeight="1">
      <c r="A67" s="189"/>
      <c r="B67" s="39" t="s">
        <v>250</v>
      </c>
      <c r="C67" s="40">
        <v>150</v>
      </c>
      <c r="D67" s="40">
        <v>1800</v>
      </c>
      <c r="E67" s="40">
        <f t="shared" si="1"/>
        <v>12</v>
      </c>
      <c r="F67" s="120">
        <f>0.25164*VLOOKUP('Champ - Echantillonnage'!$H$9,'Tubes optiques'!$H$2:$I$12,2,0)/C67</f>
        <v>0.92268</v>
      </c>
    </row>
    <row r="68" spans="1:6" ht="12.75" customHeight="1">
      <c r="A68" s="189" t="s">
        <v>251</v>
      </c>
      <c r="B68" s="41" t="s">
        <v>252</v>
      </c>
      <c r="C68" s="42">
        <v>60</v>
      </c>
      <c r="D68" s="42">
        <v>355</v>
      </c>
      <c r="E68" s="42">
        <f t="shared" si="1"/>
        <v>5.9</v>
      </c>
      <c r="F68" s="123">
        <f>0.25164*VLOOKUP('Champ - Echantillonnage'!$H$9,'Tubes optiques'!$H$2:$I$12,2,0)/C68</f>
        <v>2.3066999999999998</v>
      </c>
    </row>
    <row r="69" spans="1:6" ht="12.75" customHeight="1">
      <c r="A69" s="189"/>
      <c r="B69" s="41" t="s">
        <v>253</v>
      </c>
      <c r="C69" s="42">
        <v>90</v>
      </c>
      <c r="D69" s="42">
        <v>500</v>
      </c>
      <c r="E69" s="42">
        <f t="shared" si="1"/>
        <v>5.6</v>
      </c>
      <c r="F69" s="123">
        <f>0.25164*VLOOKUP('Champ - Echantillonnage'!$H$9,'Tubes optiques'!$H$2:$I$12,2,0)/C69</f>
        <v>1.5377999999999998</v>
      </c>
    </row>
    <row r="70" spans="1:6" ht="12.75" customHeight="1">
      <c r="A70" s="189"/>
      <c r="B70" s="41" t="s">
        <v>254</v>
      </c>
      <c r="C70" s="42">
        <v>102</v>
      </c>
      <c r="D70" s="42">
        <v>820</v>
      </c>
      <c r="E70" s="42">
        <f t="shared" si="1"/>
        <v>8</v>
      </c>
      <c r="F70" s="123">
        <f>0.25164*VLOOKUP('Champ - Echantillonnage'!$H$9,'Tubes optiques'!$H$2:$I$12,2,0)/C70</f>
        <v>1.3568823529411764</v>
      </c>
    </row>
    <row r="71" spans="1:6" ht="12.75" customHeight="1">
      <c r="A71" s="189"/>
      <c r="B71" s="41" t="s">
        <v>255</v>
      </c>
      <c r="C71" s="42">
        <v>128</v>
      </c>
      <c r="D71" s="42">
        <v>1040</v>
      </c>
      <c r="E71" s="42">
        <f t="shared" si="1"/>
        <v>8.1</v>
      </c>
      <c r="F71" s="123">
        <f>0.25164*VLOOKUP('Champ - Echantillonnage'!$H$9,'Tubes optiques'!$H$2:$I$12,2,0)/C71</f>
        <v>1.081265625</v>
      </c>
    </row>
    <row r="72" spans="1:6" ht="12.75" customHeight="1">
      <c r="A72" s="189"/>
      <c r="B72" s="41" t="s">
        <v>256</v>
      </c>
      <c r="C72" s="42">
        <v>152</v>
      </c>
      <c r="D72" s="42">
        <v>1216</v>
      </c>
      <c r="E72" s="42">
        <f t="shared" si="1"/>
        <v>8</v>
      </c>
      <c r="F72" s="123">
        <f>0.25164*VLOOKUP('Champ - Echantillonnage'!$H$9,'Tubes optiques'!$H$2:$I$12,2,0)/C72</f>
        <v>0.9105394736842104</v>
      </c>
    </row>
    <row r="73" spans="1:6" ht="12.75" customHeight="1">
      <c r="A73" s="189"/>
      <c r="B73" s="41" t="s">
        <v>257</v>
      </c>
      <c r="C73" s="42">
        <v>85</v>
      </c>
      <c r="D73" s="42">
        <v>450</v>
      </c>
      <c r="E73" s="42">
        <f t="shared" si="1"/>
        <v>5.3</v>
      </c>
      <c r="F73" s="123">
        <f>0.25164*VLOOKUP('Champ - Echantillonnage'!$H$9,'Tubes optiques'!$H$2:$I$12,2,0)/C73</f>
        <v>1.6282588235294115</v>
      </c>
    </row>
    <row r="74" spans="1:6" ht="12.75" customHeight="1">
      <c r="A74" s="189"/>
      <c r="B74" s="41" t="s">
        <v>258</v>
      </c>
      <c r="C74" s="42">
        <v>106</v>
      </c>
      <c r="D74" s="42">
        <v>530</v>
      </c>
      <c r="E74" s="42">
        <f t="shared" si="1"/>
        <v>5</v>
      </c>
      <c r="F74" s="123">
        <f>0.25164*VLOOKUP('Champ - Echantillonnage'!$H$9,'Tubes optiques'!$H$2:$I$12,2,0)/C74</f>
        <v>1.3056792452830188</v>
      </c>
    </row>
    <row r="75" spans="1:6" ht="12.75" customHeight="1">
      <c r="A75" s="189"/>
      <c r="B75" s="41" t="s">
        <v>259</v>
      </c>
      <c r="C75" s="42">
        <v>102</v>
      </c>
      <c r="D75" s="42">
        <v>816</v>
      </c>
      <c r="E75" s="42">
        <f t="shared" si="1"/>
        <v>8</v>
      </c>
      <c r="F75" s="123">
        <f>0.25164*VLOOKUP('Champ - Echantillonnage'!$H$9,'Tubes optiques'!$H$2:$I$12,2,0)/C75</f>
        <v>1.3568823529411764</v>
      </c>
    </row>
    <row r="76" spans="1:6" ht="12.75" customHeight="1">
      <c r="A76" s="189"/>
      <c r="B76" s="41" t="s">
        <v>260</v>
      </c>
      <c r="C76" s="42">
        <v>120</v>
      </c>
      <c r="D76" s="42">
        <v>900</v>
      </c>
      <c r="E76" s="42">
        <f t="shared" si="1"/>
        <v>7.5</v>
      </c>
      <c r="F76" s="123">
        <f>0.25164*VLOOKUP('Champ - Echantillonnage'!$H$9,'Tubes optiques'!$H$2:$I$12,2,0)/C76</f>
        <v>1.1533499999999999</v>
      </c>
    </row>
    <row r="77" spans="1:6" ht="12.75" customHeight="1">
      <c r="A77" s="189"/>
      <c r="B77" s="41" t="s">
        <v>261</v>
      </c>
      <c r="C77" s="42">
        <v>130</v>
      </c>
      <c r="D77" s="42">
        <v>1000</v>
      </c>
      <c r="E77" s="42">
        <f t="shared" si="1"/>
        <v>7.7</v>
      </c>
      <c r="F77" s="123">
        <f>0.25164*VLOOKUP('Champ - Echantillonnage'!$H$9,'Tubes optiques'!$H$2:$I$12,2,0)/C77</f>
        <v>1.064630769230769</v>
      </c>
    </row>
    <row r="78" spans="1:6" ht="12.75" customHeight="1">
      <c r="A78" s="189"/>
      <c r="B78" s="41" t="s">
        <v>262</v>
      </c>
      <c r="C78" s="42">
        <v>150</v>
      </c>
      <c r="D78" s="42">
        <v>1100</v>
      </c>
      <c r="E78" s="42">
        <f t="shared" si="1"/>
        <v>7.3</v>
      </c>
      <c r="F78" s="123">
        <f>0.25164*VLOOKUP('Champ - Echantillonnage'!$H$9,'Tubes optiques'!$H$2:$I$12,2,0)/C78</f>
        <v>0.92268</v>
      </c>
    </row>
    <row r="79" spans="1:6" ht="12.75" customHeight="1">
      <c r="A79" s="189"/>
      <c r="B79" s="41" t="s">
        <v>263</v>
      </c>
      <c r="C79" s="42">
        <v>130</v>
      </c>
      <c r="D79" s="42">
        <v>430</v>
      </c>
      <c r="E79" s="42">
        <f t="shared" si="1"/>
        <v>3.3</v>
      </c>
      <c r="F79" s="123">
        <f>0.25164*VLOOKUP('Champ - Echantillonnage'!$H$9,'Tubes optiques'!$H$2:$I$12,2,0)/C79</f>
        <v>1.064630769230769</v>
      </c>
    </row>
    <row r="80" spans="1:6" ht="12.75" customHeight="1">
      <c r="A80" s="189"/>
      <c r="B80" s="41" t="s">
        <v>264</v>
      </c>
      <c r="C80" s="42">
        <v>160</v>
      </c>
      <c r="D80" s="42">
        <v>530</v>
      </c>
      <c r="E80" s="42">
        <f t="shared" si="1"/>
        <v>3.3</v>
      </c>
      <c r="F80" s="123">
        <f>0.25164*VLOOKUP('Champ - Echantillonnage'!$H$9,'Tubes optiques'!$H$2:$I$12,2,0)/C80</f>
        <v>0.8650125</v>
      </c>
    </row>
    <row r="81" spans="1:6" ht="12.75" customHeight="1">
      <c r="A81" s="189"/>
      <c r="B81" s="41" t="s">
        <v>265</v>
      </c>
      <c r="C81" s="42">
        <v>180</v>
      </c>
      <c r="D81" s="42">
        <v>500</v>
      </c>
      <c r="E81" s="42">
        <f t="shared" si="1"/>
        <v>2.8</v>
      </c>
      <c r="F81" s="123">
        <f>0.25164*VLOOKUP('Champ - Echantillonnage'!$H$9,'Tubes optiques'!$H$2:$I$12,2,0)/C81</f>
        <v>0.7688999999999999</v>
      </c>
    </row>
    <row r="82" spans="1:6" ht="12.75" customHeight="1">
      <c r="A82" s="189"/>
      <c r="B82" s="41" t="s">
        <v>266</v>
      </c>
      <c r="C82" s="42">
        <v>200</v>
      </c>
      <c r="D82" s="42">
        <v>800</v>
      </c>
      <c r="E82" s="42">
        <f t="shared" si="1"/>
        <v>4</v>
      </c>
      <c r="F82" s="123">
        <f>0.25164*VLOOKUP('Champ - Echantillonnage'!$H$9,'Tubes optiques'!$H$2:$I$12,2,0)/C82</f>
        <v>0.6920099999999999</v>
      </c>
    </row>
    <row r="83" spans="1:6" ht="12.75" customHeight="1">
      <c r="A83" s="189"/>
      <c r="B83" s="41" t="s">
        <v>267</v>
      </c>
      <c r="C83" s="42">
        <v>210</v>
      </c>
      <c r="D83" s="42">
        <v>628</v>
      </c>
      <c r="E83" s="42">
        <f t="shared" si="1"/>
        <v>3</v>
      </c>
      <c r="F83" s="123">
        <f>0.25164*VLOOKUP('Champ - Echantillonnage'!$H$9,'Tubes optiques'!$H$2:$I$12,2,0)/C83</f>
        <v>0.6590571428571428</v>
      </c>
    </row>
    <row r="84" spans="1:6" ht="12.75" customHeight="1">
      <c r="A84" s="189"/>
      <c r="B84" s="41" t="s">
        <v>268</v>
      </c>
      <c r="C84" s="42">
        <v>250</v>
      </c>
      <c r="D84" s="42">
        <v>854</v>
      </c>
      <c r="E84" s="42">
        <f t="shared" si="1"/>
        <v>3.4</v>
      </c>
      <c r="F84" s="123">
        <f>0.25164*VLOOKUP('Champ - Echantillonnage'!$H$9,'Tubes optiques'!$H$2:$I$12,2,0)/C84</f>
        <v>0.553608</v>
      </c>
    </row>
    <row r="85" spans="1:6" ht="12.75" customHeight="1">
      <c r="A85" s="189"/>
      <c r="B85" s="41" t="s">
        <v>269</v>
      </c>
      <c r="C85" s="42">
        <v>300</v>
      </c>
      <c r="D85" s="42">
        <v>1130</v>
      </c>
      <c r="E85" s="42">
        <f t="shared" si="1"/>
        <v>3.8</v>
      </c>
      <c r="F85" s="123">
        <f>0.25164*VLOOKUP('Champ - Echantillonnage'!$H$9,'Tubes optiques'!$H$2:$I$12,2,0)/C85</f>
        <v>0.46134</v>
      </c>
    </row>
    <row r="86" spans="1:6" ht="12.75" customHeight="1">
      <c r="A86" s="189"/>
      <c r="B86" s="41" t="s">
        <v>270</v>
      </c>
      <c r="C86" s="42">
        <v>350</v>
      </c>
      <c r="D86" s="42">
        <v>1248</v>
      </c>
      <c r="E86" s="42">
        <f t="shared" si="1"/>
        <v>3.6</v>
      </c>
      <c r="F86" s="123">
        <f>0.25164*VLOOKUP('Champ - Echantillonnage'!$H$9,'Tubes optiques'!$H$2:$I$12,2,0)/C86</f>
        <v>0.3954342857142857</v>
      </c>
    </row>
    <row r="87" spans="1:6" ht="12.75" customHeight="1">
      <c r="A87" s="189"/>
      <c r="B87" s="41" t="s">
        <v>271</v>
      </c>
      <c r="C87" s="42">
        <v>180</v>
      </c>
      <c r="D87" s="42">
        <v>2160</v>
      </c>
      <c r="E87" s="42">
        <f t="shared" si="1"/>
        <v>12</v>
      </c>
      <c r="F87" s="123">
        <f>0.25164*VLOOKUP('Champ - Echantillonnage'!$H$9,'Tubes optiques'!$H$2:$I$12,2,0)/C87</f>
        <v>0.7688999999999999</v>
      </c>
    </row>
    <row r="88" spans="1:6" ht="12.75" customHeight="1">
      <c r="A88" s="189"/>
      <c r="B88" s="41" t="s">
        <v>272</v>
      </c>
      <c r="C88" s="42">
        <v>210</v>
      </c>
      <c r="D88" s="42">
        <v>2415</v>
      </c>
      <c r="E88" s="42">
        <f t="shared" si="1"/>
        <v>11.5</v>
      </c>
      <c r="F88" s="123">
        <f>0.25164*VLOOKUP('Champ - Echantillonnage'!$H$9,'Tubes optiques'!$H$2:$I$12,2,0)/C88</f>
        <v>0.6590571428571428</v>
      </c>
    </row>
    <row r="89" spans="1:6" ht="12.75" customHeight="1">
      <c r="A89" s="189"/>
      <c r="B89" s="41" t="s">
        <v>273</v>
      </c>
      <c r="C89" s="42">
        <v>250</v>
      </c>
      <c r="D89" s="42">
        <v>3000</v>
      </c>
      <c r="E89" s="42">
        <f t="shared" si="1"/>
        <v>12</v>
      </c>
      <c r="F89" s="123">
        <f>0.25164*VLOOKUP('Champ - Echantillonnage'!$H$9,'Tubes optiques'!$H$2:$I$12,2,0)/C89</f>
        <v>0.553608</v>
      </c>
    </row>
    <row r="90" spans="1:6" ht="12.75" customHeight="1">
      <c r="A90" s="189"/>
      <c r="B90" s="41" t="s">
        <v>274</v>
      </c>
      <c r="C90" s="42">
        <v>300</v>
      </c>
      <c r="D90" s="42">
        <v>3572</v>
      </c>
      <c r="E90" s="42">
        <f t="shared" si="1"/>
        <v>11.9</v>
      </c>
      <c r="F90" s="123">
        <f>0.25164*VLOOKUP('Champ - Echantillonnage'!$H$9,'Tubes optiques'!$H$2:$I$12,2,0)/C90</f>
        <v>0.46134</v>
      </c>
    </row>
    <row r="91" spans="1:6" ht="12.75" customHeight="1">
      <c r="A91" s="189"/>
      <c r="B91" s="41" t="s">
        <v>275</v>
      </c>
      <c r="C91" s="42">
        <v>250</v>
      </c>
      <c r="D91" s="42"/>
      <c r="E91" s="42">
        <f t="shared" si="1"/>
        <v>0</v>
      </c>
      <c r="F91" s="123">
        <f>0.25164*VLOOKUP('Champ - Echantillonnage'!$H$9,'Tubes optiques'!$H$2:$I$12,2,0)/C91</f>
        <v>0.553608</v>
      </c>
    </row>
    <row r="92" spans="1:6" ht="12.75" customHeight="1">
      <c r="A92" s="189"/>
      <c r="B92" s="41" t="s">
        <v>276</v>
      </c>
      <c r="C92" s="42">
        <v>212</v>
      </c>
      <c r="D92" s="42"/>
      <c r="E92" s="42">
        <f t="shared" si="1"/>
        <v>0</v>
      </c>
      <c r="F92" s="123">
        <f>0.25164*VLOOKUP('Champ - Echantillonnage'!$H$9,'Tubes optiques'!$H$2:$I$12,2,0)/C92</f>
        <v>0.6528396226415094</v>
      </c>
    </row>
    <row r="93" spans="1:6" ht="12.75" customHeight="1">
      <c r="A93" s="189" t="s">
        <v>277</v>
      </c>
      <c r="B93" s="35" t="s">
        <v>278</v>
      </c>
      <c r="C93" s="36">
        <v>140</v>
      </c>
      <c r="D93" s="36">
        <v>980</v>
      </c>
      <c r="E93" s="36">
        <f t="shared" si="1"/>
        <v>7</v>
      </c>
      <c r="F93" s="119">
        <f>0.25164*VLOOKUP('Champ - Echantillonnage'!$H$9,'Tubes optiques'!$H$2:$I$12,2,0)/C93</f>
        <v>0.9885857142857142</v>
      </c>
    </row>
    <row r="94" spans="1:6" ht="12.75" customHeight="1">
      <c r="A94" s="189"/>
      <c r="B94" s="35" t="s">
        <v>279</v>
      </c>
      <c r="C94" s="36">
        <v>160</v>
      </c>
      <c r="D94" s="36">
        <v>1280</v>
      </c>
      <c r="E94" s="36">
        <f t="shared" si="1"/>
        <v>8</v>
      </c>
      <c r="F94" s="119">
        <f>0.25164*VLOOKUP('Champ - Echantillonnage'!$H$9,'Tubes optiques'!$H$2:$I$12,2,0)/C94</f>
        <v>0.8650125</v>
      </c>
    </row>
    <row r="95" spans="1:6" ht="12.75" customHeight="1">
      <c r="A95" s="189"/>
      <c r="B95" s="35" t="s">
        <v>280</v>
      </c>
      <c r="C95" s="36">
        <v>160</v>
      </c>
      <c r="D95" s="36">
        <v>1120</v>
      </c>
      <c r="E95" s="36">
        <f t="shared" si="1"/>
        <v>7</v>
      </c>
      <c r="F95" s="119">
        <f>0.25164*VLOOKUP('Champ - Echantillonnage'!$H$9,'Tubes optiques'!$H$2:$I$12,2,0)/C95</f>
        <v>0.8650125</v>
      </c>
    </row>
    <row r="96" spans="1:6" ht="12.75" customHeight="1">
      <c r="A96" s="189"/>
      <c r="B96" s="35" t="s">
        <v>281</v>
      </c>
      <c r="C96" s="36">
        <v>180</v>
      </c>
      <c r="D96" s="36">
        <v>1260</v>
      </c>
      <c r="E96" s="36">
        <f t="shared" si="1"/>
        <v>7</v>
      </c>
      <c r="F96" s="119">
        <f>0.25164*VLOOKUP('Champ - Echantillonnage'!$H$9,'Tubes optiques'!$H$2:$I$12,2,0)/C96</f>
        <v>0.7688999999999999</v>
      </c>
    </row>
    <row r="97" spans="1:6" ht="12.75" customHeight="1">
      <c r="A97" s="189" t="s">
        <v>282</v>
      </c>
      <c r="B97" s="43" t="s">
        <v>400</v>
      </c>
      <c r="C97" s="44">
        <v>60</v>
      </c>
      <c r="D97" s="44">
        <v>360</v>
      </c>
      <c r="E97" s="44">
        <f t="shared" si="1"/>
        <v>6</v>
      </c>
      <c r="F97" s="121">
        <f>0.25164*VLOOKUP('Champ - Echantillonnage'!$H$9,'Tubes optiques'!$H$2:$I$12,2,0)/C97</f>
        <v>2.3066999999999998</v>
      </c>
    </row>
    <row r="98" spans="1:6" ht="12.75" customHeight="1">
      <c r="A98" s="189"/>
      <c r="B98" s="43" t="s">
        <v>398</v>
      </c>
      <c r="C98" s="44">
        <v>76</v>
      </c>
      <c r="D98" s="44">
        <v>480</v>
      </c>
      <c r="E98" s="44">
        <f>ROUND(D98/C98,1)</f>
        <v>6.3</v>
      </c>
      <c r="F98" s="121">
        <f>0.25164*VLOOKUP('Champ - Echantillonnage'!$H$9,'Tubes optiques'!$H$2:$I$12,2,0)/C98</f>
        <v>1.8210789473684208</v>
      </c>
    </row>
    <row r="99" spans="1:6" ht="12.75" customHeight="1">
      <c r="A99" s="189"/>
      <c r="B99" s="43" t="s">
        <v>399</v>
      </c>
      <c r="C99" s="44">
        <v>85</v>
      </c>
      <c r="D99" s="44">
        <v>600</v>
      </c>
      <c r="E99" s="44">
        <f>ROUND(D99/C99,1)</f>
        <v>7.1</v>
      </c>
      <c r="F99" s="121">
        <f>0.25164*VLOOKUP('Champ - Echantillonnage'!$H$9,'Tubes optiques'!$H$2:$I$12,2,0)/C99</f>
        <v>1.6282588235294115</v>
      </c>
    </row>
    <row r="100" spans="1:6" ht="12.75" customHeight="1">
      <c r="A100" s="189"/>
      <c r="B100" s="43" t="s">
        <v>406</v>
      </c>
      <c r="C100" s="44">
        <v>102</v>
      </c>
      <c r="D100" s="44">
        <v>880</v>
      </c>
      <c r="E100" s="44">
        <f>ROUND(D100/C100,1)</f>
        <v>8.6</v>
      </c>
      <c r="F100" s="121">
        <f>0.25164*VLOOKUP('Champ - Echantillonnage'!$H$9,'Tubes optiques'!$H$2:$I$12,2,0)/C100</f>
        <v>1.3568823529411764</v>
      </c>
    </row>
    <row r="101" spans="1:6" ht="12.75" customHeight="1">
      <c r="A101" s="189"/>
      <c r="B101" s="43" t="s">
        <v>405</v>
      </c>
      <c r="C101" s="44">
        <v>101</v>
      </c>
      <c r="D101" s="44">
        <v>540</v>
      </c>
      <c r="E101" s="44">
        <f>ROUND(D101/C101,1)</f>
        <v>5.3</v>
      </c>
      <c r="F101" s="121">
        <f>0.25164*VLOOKUP('Champ - Echantillonnage'!$H$9,'Tubes optiques'!$H$2:$I$12,2,0)/C101</f>
        <v>1.3703168316831682</v>
      </c>
    </row>
    <row r="102" spans="1:6" ht="12.75" customHeight="1">
      <c r="A102" s="189"/>
      <c r="B102" s="43" t="s">
        <v>407</v>
      </c>
      <c r="C102" s="44">
        <v>127</v>
      </c>
      <c r="D102" s="44">
        <v>660</v>
      </c>
      <c r="E102" s="44">
        <f t="shared" si="1"/>
        <v>5.2</v>
      </c>
      <c r="F102" s="121">
        <f>0.25164*VLOOKUP('Champ - Echantillonnage'!$H$9,'Tubes optiques'!$H$2:$I$12,2,0)/C102</f>
        <v>1.089779527559055</v>
      </c>
    </row>
    <row r="103" spans="1:6" ht="12.75" customHeight="1">
      <c r="A103" s="193" t="s">
        <v>283</v>
      </c>
      <c r="B103" s="45" t="s">
        <v>284</v>
      </c>
      <c r="C103" s="46">
        <v>80</v>
      </c>
      <c r="D103" s="46">
        <v>504</v>
      </c>
      <c r="E103" s="46">
        <f t="shared" si="1"/>
        <v>6.3</v>
      </c>
      <c r="F103" s="117">
        <f>0.25164*VLOOKUP('Champ - Echantillonnage'!$H$9,'Tubes optiques'!$H$2:$I$12,2,0)/C103</f>
        <v>1.730025</v>
      </c>
    </row>
    <row r="104" spans="1:6" ht="12.75" customHeight="1">
      <c r="A104" s="193"/>
      <c r="B104" s="45" t="s">
        <v>285</v>
      </c>
      <c r="C104" s="46">
        <v>92</v>
      </c>
      <c r="D104" s="46">
        <v>506</v>
      </c>
      <c r="E104" s="46">
        <f t="shared" si="1"/>
        <v>5.5</v>
      </c>
      <c r="F104" s="117">
        <f>0.25164*VLOOKUP('Champ - Echantillonnage'!$H$9,'Tubes optiques'!$H$2:$I$12,2,0)/C104</f>
        <v>1.5043695652173912</v>
      </c>
    </row>
    <row r="105" spans="1:6" ht="12.75" customHeight="1">
      <c r="A105" s="193"/>
      <c r="B105" s="45" t="s">
        <v>286</v>
      </c>
      <c r="C105" s="46">
        <v>130</v>
      </c>
      <c r="D105" s="46">
        <v>910</v>
      </c>
      <c r="E105" s="46">
        <f aca="true" t="shared" si="3" ref="E105:E127">ROUND(D105/C105,1)</f>
        <v>7</v>
      </c>
      <c r="F105" s="117">
        <f>0.25164*VLOOKUP('Champ - Echantillonnage'!$H$9,'Tubes optiques'!$H$2:$I$12,2,0)/C105</f>
        <v>1.064630769230769</v>
      </c>
    </row>
    <row r="106" spans="1:6" ht="12.75" customHeight="1">
      <c r="A106" s="189" t="s">
        <v>287</v>
      </c>
      <c r="B106" s="35" t="s">
        <v>288</v>
      </c>
      <c r="C106" s="36">
        <v>80</v>
      </c>
      <c r="D106" s="36">
        <v>600</v>
      </c>
      <c r="E106" s="36">
        <f t="shared" si="3"/>
        <v>7.5</v>
      </c>
      <c r="F106" s="119">
        <f>0.25164*VLOOKUP('Champ - Echantillonnage'!$H$9,'Tubes optiques'!$H$2:$I$12,2,0)/C106</f>
        <v>1.730025</v>
      </c>
    </row>
    <row r="107" spans="1:6" ht="12.75" customHeight="1">
      <c r="A107" s="189"/>
      <c r="B107" s="35" t="s">
        <v>289</v>
      </c>
      <c r="C107" s="36">
        <v>81</v>
      </c>
      <c r="D107" s="36">
        <v>625</v>
      </c>
      <c r="E107" s="36">
        <f t="shared" si="3"/>
        <v>7.7</v>
      </c>
      <c r="F107" s="119">
        <f>0.25164*VLOOKUP('Champ - Echantillonnage'!$H$9,'Tubes optiques'!$H$2:$I$12,2,0)/C107</f>
        <v>1.7086666666666666</v>
      </c>
    </row>
    <row r="108" spans="1:6" ht="12.75" customHeight="1">
      <c r="A108" s="189"/>
      <c r="B108" s="35" t="s">
        <v>290</v>
      </c>
      <c r="C108" s="36">
        <v>100</v>
      </c>
      <c r="D108" s="36">
        <v>880</v>
      </c>
      <c r="E108" s="36">
        <f t="shared" si="3"/>
        <v>8.8</v>
      </c>
      <c r="F108" s="119">
        <f>0.25164*VLOOKUP('Champ - Echantillonnage'!$H$9,'Tubes optiques'!$H$2:$I$12,2,0)/C108</f>
        <v>1.3840199999999998</v>
      </c>
    </row>
    <row r="109" spans="1:6" ht="12.75" customHeight="1">
      <c r="A109" s="189"/>
      <c r="B109" s="35" t="s">
        <v>291</v>
      </c>
      <c r="C109" s="36">
        <v>103</v>
      </c>
      <c r="D109" s="36">
        <v>795</v>
      </c>
      <c r="E109" s="36">
        <f t="shared" si="3"/>
        <v>7.7</v>
      </c>
      <c r="F109" s="119">
        <f>0.25164*VLOOKUP('Champ - Echantillonnage'!$H$9,'Tubes optiques'!$H$2:$I$12,2,0)/C109</f>
        <v>1.3437087378640775</v>
      </c>
    </row>
    <row r="110" spans="1:6" ht="12.75" customHeight="1">
      <c r="A110" s="189"/>
      <c r="B110" s="35" t="s">
        <v>292</v>
      </c>
      <c r="C110" s="36">
        <v>115</v>
      </c>
      <c r="D110" s="36">
        <v>890</v>
      </c>
      <c r="E110" s="36">
        <f t="shared" si="3"/>
        <v>7.7</v>
      </c>
      <c r="F110" s="119">
        <f>0.25164*VLOOKUP('Champ - Echantillonnage'!$H$9,'Tubes optiques'!$H$2:$I$12,2,0)/C110</f>
        <v>1.2034956521739129</v>
      </c>
    </row>
    <row r="111" spans="1:6" ht="12.75" customHeight="1">
      <c r="A111" s="189"/>
      <c r="B111" s="35" t="s">
        <v>293</v>
      </c>
      <c r="C111" s="36">
        <v>140</v>
      </c>
      <c r="D111" s="36">
        <v>800</v>
      </c>
      <c r="E111" s="36">
        <f t="shared" si="3"/>
        <v>5.7</v>
      </c>
      <c r="F111" s="119">
        <f>0.25164*VLOOKUP('Champ - Echantillonnage'!$H$9,'Tubes optiques'!$H$2:$I$12,2,0)/C111</f>
        <v>0.9885857142857142</v>
      </c>
    </row>
    <row r="112" spans="1:6" ht="12.75" customHeight="1">
      <c r="A112" s="189"/>
      <c r="B112" s="35" t="s">
        <v>294</v>
      </c>
      <c r="C112" s="36">
        <v>130</v>
      </c>
      <c r="D112" s="36">
        <v>650</v>
      </c>
      <c r="E112" s="36">
        <f t="shared" si="3"/>
        <v>5</v>
      </c>
      <c r="F112" s="119">
        <f>0.25164*VLOOKUP('Champ - Echantillonnage'!$H$9,'Tubes optiques'!$H$2:$I$12,2,0)/C112</f>
        <v>1.064630769230769</v>
      </c>
    </row>
    <row r="113" spans="1:6" ht="12.75" customHeight="1">
      <c r="A113" s="189"/>
      <c r="B113" s="35" t="s">
        <v>295</v>
      </c>
      <c r="C113" s="36">
        <v>200</v>
      </c>
      <c r="D113" s="36">
        <v>800</v>
      </c>
      <c r="E113" s="36">
        <f t="shared" si="3"/>
        <v>4</v>
      </c>
      <c r="F113" s="119">
        <f>0.25164*VLOOKUP('Champ - Echantillonnage'!$H$9,'Tubes optiques'!$H$2:$I$12,2,0)/C113</f>
        <v>0.6920099999999999</v>
      </c>
    </row>
    <row r="114" spans="1:6" ht="12.75" customHeight="1">
      <c r="A114" s="189"/>
      <c r="B114" s="35" t="s">
        <v>296</v>
      </c>
      <c r="C114" s="36">
        <v>95</v>
      </c>
      <c r="D114" s="36">
        <v>1050</v>
      </c>
      <c r="E114" s="36">
        <f t="shared" si="3"/>
        <v>11.1</v>
      </c>
      <c r="F114" s="119">
        <f>0.25164*VLOOKUP('Champ - Echantillonnage'!$H$9,'Tubes optiques'!$H$2:$I$12,2,0)/C114</f>
        <v>1.4568631578947366</v>
      </c>
    </row>
    <row r="115" spans="1:6" ht="12.75" customHeight="1">
      <c r="A115" s="189"/>
      <c r="B115" s="35" t="s">
        <v>297</v>
      </c>
      <c r="C115" s="36">
        <v>110</v>
      </c>
      <c r="D115" s="36">
        <v>1035</v>
      </c>
      <c r="E115" s="36">
        <f t="shared" si="3"/>
        <v>9.4</v>
      </c>
      <c r="F115" s="119">
        <f>0.25164*VLOOKUP('Champ - Echantillonnage'!$H$9,'Tubes optiques'!$H$2:$I$12,2,0)/C115</f>
        <v>1.2582</v>
      </c>
    </row>
    <row r="116" spans="1:6" ht="12.75" customHeight="1">
      <c r="A116" s="189"/>
      <c r="B116" s="35" t="s">
        <v>298</v>
      </c>
      <c r="C116" s="36">
        <v>200</v>
      </c>
      <c r="D116" s="36">
        <v>1950</v>
      </c>
      <c r="E116" s="36">
        <f t="shared" si="3"/>
        <v>9.8</v>
      </c>
      <c r="F116" s="119">
        <f>0.25164*VLOOKUP('Champ - Echantillonnage'!$H$9,'Tubes optiques'!$H$2:$I$12,2,0)/C116</f>
        <v>0.6920099999999999</v>
      </c>
    </row>
    <row r="117" spans="1:6" ht="12.75" customHeight="1">
      <c r="A117" s="189"/>
      <c r="B117" s="35" t="s">
        <v>299</v>
      </c>
      <c r="C117" s="36">
        <v>200</v>
      </c>
      <c r="D117" s="36">
        <v>1800</v>
      </c>
      <c r="E117" s="36">
        <f t="shared" si="3"/>
        <v>9</v>
      </c>
      <c r="F117" s="119">
        <f>0.25164*VLOOKUP('Champ - Echantillonnage'!$H$9,'Tubes optiques'!$H$2:$I$12,2,0)/C117</f>
        <v>0.6920099999999999</v>
      </c>
    </row>
    <row r="118" spans="1:6" ht="12.75" customHeight="1">
      <c r="A118" s="189"/>
      <c r="B118" s="35" t="s">
        <v>300</v>
      </c>
      <c r="C118" s="36">
        <v>260</v>
      </c>
      <c r="D118" s="36">
        <v>3000</v>
      </c>
      <c r="E118" s="36">
        <f t="shared" si="3"/>
        <v>11.5</v>
      </c>
      <c r="F118" s="119">
        <f>0.25164*VLOOKUP('Champ - Echantillonnage'!$H$9,'Tubes optiques'!$H$2:$I$12,2,0)/C118</f>
        <v>0.5323153846153845</v>
      </c>
    </row>
    <row r="119" spans="1:6" ht="12.75" customHeight="1">
      <c r="A119" s="189"/>
      <c r="B119" s="35" t="s">
        <v>301</v>
      </c>
      <c r="C119" s="36">
        <v>330</v>
      </c>
      <c r="D119" s="36">
        <v>4320</v>
      </c>
      <c r="E119" s="36">
        <f t="shared" si="3"/>
        <v>13.1</v>
      </c>
      <c r="F119" s="119">
        <f>0.25164*VLOOKUP('Champ - Echantillonnage'!$H$9,'Tubes optiques'!$H$2:$I$12,2,0)/C119</f>
        <v>0.41939999999999994</v>
      </c>
    </row>
    <row r="120" spans="1:6" ht="12.75" customHeight="1">
      <c r="A120" s="191" t="s">
        <v>302</v>
      </c>
      <c r="B120" s="89" t="s">
        <v>408</v>
      </c>
      <c r="C120" s="40">
        <v>72</v>
      </c>
      <c r="D120" s="40">
        <v>432</v>
      </c>
      <c r="E120" s="40">
        <f t="shared" si="3"/>
        <v>6</v>
      </c>
      <c r="F120" s="120">
        <f>0.25164*VLOOKUP('Champ - Echantillonnage'!$H$9,'Tubes optiques'!$H$2:$I$12,2,0)/C120</f>
        <v>1.9222499999999998</v>
      </c>
    </row>
    <row r="121" spans="1:6" ht="12.75" customHeight="1">
      <c r="A121" s="191"/>
      <c r="B121" s="89" t="s">
        <v>411</v>
      </c>
      <c r="C121" s="40">
        <v>80</v>
      </c>
      <c r="D121" s="40">
        <v>545</v>
      </c>
      <c r="E121" s="40">
        <f t="shared" si="3"/>
        <v>6.8</v>
      </c>
      <c r="F121" s="120">
        <f>0.25164*VLOOKUP('Champ - Echantillonnage'!$H$9,'Tubes optiques'!$H$2:$I$12,2,0)/C121</f>
        <v>1.730025</v>
      </c>
    </row>
    <row r="122" spans="1:6" ht="12.75" customHeight="1">
      <c r="A122" s="191"/>
      <c r="B122" s="89" t="s">
        <v>415</v>
      </c>
      <c r="C122" s="40">
        <v>80</v>
      </c>
      <c r="D122" s="40">
        <v>480</v>
      </c>
      <c r="E122" s="40">
        <f t="shared" si="3"/>
        <v>6</v>
      </c>
      <c r="F122" s="120">
        <f>0.25164*VLOOKUP('Champ - Echantillonnage'!$H$9,'Tubes optiques'!$H$2:$I$12,2,0)/C122</f>
        <v>1.730025</v>
      </c>
    </row>
    <row r="123" spans="1:6" ht="12.75" customHeight="1">
      <c r="A123" s="191"/>
      <c r="B123" s="89" t="s">
        <v>409</v>
      </c>
      <c r="C123" s="40">
        <v>90</v>
      </c>
      <c r="D123" s="40">
        <v>558</v>
      </c>
      <c r="E123" s="40">
        <f t="shared" si="3"/>
        <v>6.2</v>
      </c>
      <c r="F123" s="120">
        <f>0.25164*VLOOKUP('Champ - Echantillonnage'!$H$9,'Tubes optiques'!$H$2:$I$12,2,0)/C123</f>
        <v>1.5377999999999998</v>
      </c>
    </row>
    <row r="124" spans="1:6" ht="12.75" customHeight="1">
      <c r="A124" s="191"/>
      <c r="B124" s="89" t="s">
        <v>410</v>
      </c>
      <c r="C124" s="40">
        <v>98</v>
      </c>
      <c r="D124" s="40">
        <v>618</v>
      </c>
      <c r="E124" s="40">
        <f t="shared" si="3"/>
        <v>6.3</v>
      </c>
      <c r="F124" s="120">
        <f>0.25164*VLOOKUP('Champ - Echantillonnage'!$H$9,'Tubes optiques'!$H$2:$I$12,2,0)/C124</f>
        <v>1.4122653061224488</v>
      </c>
    </row>
    <row r="125" spans="1:6" ht="12.75" customHeight="1">
      <c r="A125" s="191"/>
      <c r="B125" s="89" t="s">
        <v>412</v>
      </c>
      <c r="C125" s="40">
        <v>110</v>
      </c>
      <c r="D125" s="40">
        <v>770</v>
      </c>
      <c r="E125" s="40">
        <f t="shared" si="3"/>
        <v>7</v>
      </c>
      <c r="F125" s="120">
        <f>0.25164*VLOOKUP('Champ - Echantillonnage'!$H$9,'Tubes optiques'!$H$2:$I$12,2,0)/C125</f>
        <v>1.2582</v>
      </c>
    </row>
    <row r="126" spans="1:6" ht="12.75" customHeight="1">
      <c r="A126" s="191"/>
      <c r="B126" s="89" t="s">
        <v>413</v>
      </c>
      <c r="C126" s="40">
        <v>120</v>
      </c>
      <c r="D126" s="40">
        <v>900</v>
      </c>
      <c r="E126" s="40">
        <f t="shared" si="3"/>
        <v>7.5</v>
      </c>
      <c r="F126" s="120">
        <f>0.25164*VLOOKUP('Champ - Echantillonnage'!$H$9,'Tubes optiques'!$H$2:$I$12,2,0)/C126</f>
        <v>1.1533499999999999</v>
      </c>
    </row>
    <row r="127" spans="1:6" ht="12.75" customHeight="1">
      <c r="A127" s="191"/>
      <c r="B127" s="89" t="s">
        <v>414</v>
      </c>
      <c r="C127" s="40">
        <v>132</v>
      </c>
      <c r="D127" s="40">
        <v>924</v>
      </c>
      <c r="E127" s="40">
        <f t="shared" si="3"/>
        <v>7</v>
      </c>
      <c r="F127" s="120">
        <f>0.25164*VLOOKUP('Champ - Echantillonnage'!$H$9,'Tubes optiques'!$H$2:$I$12,2,0)/C127</f>
        <v>1.0485</v>
      </c>
    </row>
    <row r="128" spans="1:6" ht="12.75" customHeight="1">
      <c r="A128" s="190" t="s">
        <v>336</v>
      </c>
      <c r="B128" s="90" t="s">
        <v>304</v>
      </c>
      <c r="C128" s="44">
        <v>75</v>
      </c>
      <c r="D128" s="44">
        <v>300</v>
      </c>
      <c r="E128" s="44">
        <v>4</v>
      </c>
      <c r="F128" s="121">
        <f>0.25164*VLOOKUP('Champ - Echantillonnage'!$H$9,'Tubes optiques'!$H$2:$I$12,2,0)/C128</f>
        <v>1.84536</v>
      </c>
    </row>
    <row r="129" spans="1:6" ht="12.75" customHeight="1">
      <c r="A129" s="190"/>
      <c r="B129" s="90" t="s">
        <v>395</v>
      </c>
      <c r="C129" s="91">
        <f>D129/E129</f>
        <v>71.42857142857143</v>
      </c>
      <c r="D129" s="44">
        <v>200</v>
      </c>
      <c r="E129" s="44">
        <v>2.8</v>
      </c>
      <c r="F129" s="121">
        <f>0.25164*VLOOKUP('Champ - Echantillonnage'!$H$9,'Tubes optiques'!$H$2:$I$12,2,0)/C129</f>
        <v>1.9376279999999997</v>
      </c>
    </row>
    <row r="130" spans="1:6" ht="12.75" customHeight="1">
      <c r="A130" s="190"/>
      <c r="B130" s="90" t="s">
        <v>396</v>
      </c>
      <c r="C130" s="91">
        <f>D130/E130</f>
        <v>35.714285714285715</v>
      </c>
      <c r="D130" s="44">
        <v>100</v>
      </c>
      <c r="E130" s="44">
        <v>2.8</v>
      </c>
      <c r="F130" s="121">
        <f>0.25164*VLOOKUP('Champ - Echantillonnage'!$H$9,'Tubes optiques'!$H$2:$I$12,2,0)/C130</f>
        <v>3.8752559999999994</v>
      </c>
    </row>
    <row r="131" spans="1:6" ht="12.75" customHeight="1">
      <c r="A131" s="190"/>
      <c r="B131" s="43" t="s">
        <v>393</v>
      </c>
      <c r="C131" s="91">
        <f>D131/E131</f>
        <v>8.571428571428571</v>
      </c>
      <c r="D131" s="44">
        <v>24</v>
      </c>
      <c r="E131" s="44">
        <v>2.8</v>
      </c>
      <c r="F131" s="121">
        <f>0.25164*VLOOKUP('Champ - Echantillonnage'!$H$9,'Tubes optiques'!$H$2:$I$12,2,0)/C131</f>
        <v>16.1469</v>
      </c>
    </row>
    <row r="132" spans="1:6" ht="12.75" customHeight="1">
      <c r="A132" s="190"/>
      <c r="B132" s="127" t="s">
        <v>394</v>
      </c>
      <c r="C132" s="128">
        <f>D132/E132</f>
        <v>25</v>
      </c>
      <c r="D132" s="129">
        <v>70</v>
      </c>
      <c r="E132" s="129">
        <v>2.8</v>
      </c>
      <c r="F132" s="130">
        <f>0.25164*VLOOKUP('Champ - Echantillonnage'!$H$9,'Tubes optiques'!$H$2:$I$12,2,0)/C132</f>
        <v>5.536079999999999</v>
      </c>
    </row>
    <row r="133" spans="1:6" ht="12.75" customHeight="1">
      <c r="A133" s="131" t="s">
        <v>472</v>
      </c>
      <c r="B133" s="131" t="s">
        <v>471</v>
      </c>
      <c r="C133" s="132">
        <f>'Champ - Echantillonnage'!C25</f>
        <v>106</v>
      </c>
      <c r="D133" s="133">
        <f>'Champ - Echantillonnage'!D25</f>
        <v>530</v>
      </c>
      <c r="E133" s="131">
        <f>ROUND(D133/C133,1)</f>
        <v>5</v>
      </c>
      <c r="F133" s="134">
        <f>0.25164*VLOOKUP('Champ - Echantillonnage'!$H$9,'Tubes optiques'!$H$2:$I$12,2,0)/C133</f>
        <v>1.3056792452830188</v>
      </c>
    </row>
    <row r="134" ht="12.75" customHeight="1"/>
    <row r="135" ht="12.75" customHeight="1">
      <c r="A135" s="3" t="s">
        <v>334</v>
      </c>
    </row>
    <row r="136" ht="12.75" customHeight="1">
      <c r="A136" s="3" t="s">
        <v>215</v>
      </c>
    </row>
    <row r="137" ht="12.75" customHeight="1">
      <c r="A137" s="3" t="s">
        <v>221</v>
      </c>
    </row>
    <row r="138" ht="12.75" customHeight="1">
      <c r="A138" s="3" t="s">
        <v>431</v>
      </c>
    </row>
    <row r="139" ht="12.75" customHeight="1">
      <c r="A139" s="3" t="s">
        <v>336</v>
      </c>
    </row>
    <row r="140" spans="1:2" ht="12.75" customHeight="1">
      <c r="A140" s="3" t="s">
        <v>231</v>
      </c>
      <c r="B140" s="25"/>
    </row>
    <row r="141" spans="1:2" ht="12.75" customHeight="1">
      <c r="A141" s="3" t="s">
        <v>446</v>
      </c>
      <c r="B141" s="25"/>
    </row>
    <row r="142" ht="12.75" customHeight="1">
      <c r="A142" s="3" t="s">
        <v>232</v>
      </c>
    </row>
    <row r="143" ht="12.75" customHeight="1">
      <c r="A143" s="3" t="s">
        <v>430</v>
      </c>
    </row>
    <row r="144" spans="1:2" ht="12.75" customHeight="1">
      <c r="A144" s="3" t="s">
        <v>241</v>
      </c>
      <c r="B144" s="25"/>
    </row>
    <row r="145" ht="12.75" customHeight="1">
      <c r="A145" s="3" t="s">
        <v>251</v>
      </c>
    </row>
    <row r="146" ht="12.75" customHeight="1">
      <c r="A146" s="3" t="s">
        <v>277</v>
      </c>
    </row>
    <row r="147" ht="12.75" customHeight="1">
      <c r="A147" s="3" t="s">
        <v>282</v>
      </c>
    </row>
    <row r="148" ht="12.75" customHeight="1">
      <c r="A148" s="3" t="s">
        <v>283</v>
      </c>
    </row>
    <row r="149" ht="12.75" customHeight="1">
      <c r="A149" s="3" t="s">
        <v>287</v>
      </c>
    </row>
    <row r="150" ht="12.75" customHeight="1">
      <c r="A150" s="3" t="s">
        <v>397</v>
      </c>
    </row>
    <row r="151" ht="12.75" customHeight="1">
      <c r="A151" s="3" t="s">
        <v>473</v>
      </c>
    </row>
    <row r="152" ht="12.75" customHeight="1"/>
    <row r="153" ht="12.75" customHeight="1"/>
  </sheetData>
  <sheetProtection/>
  <mergeCells count="15">
    <mergeCell ref="A128:A132"/>
    <mergeCell ref="A120:A127"/>
    <mergeCell ref="A16:A25"/>
    <mergeCell ref="A43:A58"/>
    <mergeCell ref="A31:A34"/>
    <mergeCell ref="A103:A105"/>
    <mergeCell ref="A106:A119"/>
    <mergeCell ref="A59:A67"/>
    <mergeCell ref="A68:A92"/>
    <mergeCell ref="A93:A96"/>
    <mergeCell ref="A97:A102"/>
    <mergeCell ref="A2:A6"/>
    <mergeCell ref="A7:A15"/>
    <mergeCell ref="A26:A30"/>
    <mergeCell ref="A35:A4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64">
      <selection activeCell="D103" sqref="D103"/>
    </sheetView>
  </sheetViews>
  <sheetFormatPr defaultColWidth="11.421875" defaultRowHeight="12.75"/>
  <cols>
    <col min="1" max="1" width="19.8515625" style="1" customWidth="1"/>
    <col min="2" max="2" width="33.57421875" style="1" bestFit="1" customWidth="1"/>
    <col min="3" max="3" width="18.140625" style="2" bestFit="1" customWidth="1"/>
    <col min="4" max="4" width="7.8515625" style="1" customWidth="1"/>
    <col min="5" max="6" width="15.7109375" style="1" customWidth="1"/>
    <col min="7" max="8" width="17.7109375" style="4" customWidth="1"/>
    <col min="9" max="9" width="17.140625" style="1" customWidth="1"/>
    <col min="10" max="10" width="13.8515625" style="1" customWidth="1"/>
    <col min="11" max="11" width="16.8515625" style="1" customWidth="1"/>
    <col min="12" max="12" width="16.28125" style="1" bestFit="1" customWidth="1"/>
    <col min="13" max="13" width="20.28125" style="1" customWidth="1"/>
    <col min="14" max="14" width="17.421875" style="1" customWidth="1"/>
    <col min="15" max="15" width="26.28125" style="1" customWidth="1"/>
    <col min="16" max="16" width="35.57421875" style="1" customWidth="1"/>
    <col min="17" max="17" width="21.140625" style="4" customWidth="1"/>
    <col min="18" max="18" width="18.00390625" style="1" customWidth="1"/>
    <col min="19" max="16384" width="11.421875" style="1" customWidth="1"/>
  </cols>
  <sheetData>
    <row r="1" spans="1:18" ht="13.5" customHeight="1">
      <c r="A1" s="26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337</v>
      </c>
      <c r="J1" s="26" t="s">
        <v>322</v>
      </c>
      <c r="K1" s="26" t="s">
        <v>8</v>
      </c>
      <c r="L1" s="26" t="s">
        <v>338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14</v>
      </c>
    </row>
    <row r="2" spans="1:18" ht="12.75">
      <c r="A2" s="194" t="s">
        <v>15</v>
      </c>
      <c r="B2" s="47" t="s">
        <v>16</v>
      </c>
      <c r="C2" s="48" t="s">
        <v>17</v>
      </c>
      <c r="D2" s="47" t="s">
        <v>18</v>
      </c>
      <c r="E2" s="52">
        <f aca="true" t="shared" si="0" ref="E2:E8">G2*I2*0.001</f>
        <v>8.9784</v>
      </c>
      <c r="F2" s="52">
        <f aca="true" t="shared" si="1" ref="F2:F8">H2*I2*0.001</f>
        <v>6.708</v>
      </c>
      <c r="G2" s="50">
        <v>1392</v>
      </c>
      <c r="H2" s="50">
        <v>1040</v>
      </c>
      <c r="I2" s="47">
        <v>6.45</v>
      </c>
      <c r="J2" s="49">
        <f aca="true" t="shared" si="2" ref="J2:J8">0.000001*G2*H2</f>
        <v>1.44768</v>
      </c>
      <c r="K2" s="47"/>
      <c r="L2" s="47"/>
      <c r="M2" s="47">
        <v>16</v>
      </c>
      <c r="N2" s="47" t="s">
        <v>19</v>
      </c>
      <c r="O2" s="47"/>
      <c r="P2" s="47"/>
      <c r="Q2" s="50"/>
      <c r="R2" s="47" t="s">
        <v>20</v>
      </c>
    </row>
    <row r="3" spans="1:18" ht="12.75">
      <c r="A3" s="194"/>
      <c r="B3" s="47" t="s">
        <v>21</v>
      </c>
      <c r="C3" s="48" t="s">
        <v>22</v>
      </c>
      <c r="D3" s="47" t="s">
        <v>18</v>
      </c>
      <c r="E3" s="52">
        <f t="shared" si="0"/>
        <v>7.128000000000001</v>
      </c>
      <c r="F3" s="52">
        <f t="shared" si="1"/>
        <v>5.368</v>
      </c>
      <c r="G3" s="50">
        <v>1620</v>
      </c>
      <c r="H3" s="50">
        <v>1220</v>
      </c>
      <c r="I3" s="47">
        <v>4.4</v>
      </c>
      <c r="J3" s="49">
        <f t="shared" si="2"/>
        <v>1.9764</v>
      </c>
      <c r="K3" s="47"/>
      <c r="L3" s="47"/>
      <c r="M3" s="47">
        <v>16</v>
      </c>
      <c r="N3" s="47" t="s">
        <v>23</v>
      </c>
      <c r="O3" s="47"/>
      <c r="P3" s="47"/>
      <c r="Q3" s="50"/>
      <c r="R3" s="47" t="s">
        <v>20</v>
      </c>
    </row>
    <row r="4" spans="1:18" ht="12.75">
      <c r="A4" s="194"/>
      <c r="B4" s="47" t="s">
        <v>24</v>
      </c>
      <c r="C4" s="48" t="s">
        <v>25</v>
      </c>
      <c r="D4" s="47" t="s">
        <v>18</v>
      </c>
      <c r="E4" s="52">
        <f t="shared" si="0"/>
        <v>17.960400000000003</v>
      </c>
      <c r="F4" s="52">
        <f t="shared" si="1"/>
        <v>13.521600000000001</v>
      </c>
      <c r="G4" s="50">
        <v>3326</v>
      </c>
      <c r="H4" s="50">
        <v>2504</v>
      </c>
      <c r="I4" s="47">
        <v>5.4</v>
      </c>
      <c r="J4" s="49">
        <f t="shared" si="2"/>
        <v>8.328304</v>
      </c>
      <c r="K4" s="47"/>
      <c r="L4" s="47"/>
      <c r="M4" s="47">
        <v>16</v>
      </c>
      <c r="N4" s="47" t="s">
        <v>26</v>
      </c>
      <c r="O4" s="47"/>
      <c r="P4" s="47"/>
      <c r="Q4" s="50"/>
      <c r="R4" s="47" t="s">
        <v>27</v>
      </c>
    </row>
    <row r="5" spans="1:18" ht="12.75">
      <c r="A5" s="194"/>
      <c r="B5" s="47">
        <v>4000</v>
      </c>
      <c r="C5" s="48" t="s">
        <v>28</v>
      </c>
      <c r="D5" s="47" t="s">
        <v>18</v>
      </c>
      <c r="E5" s="52">
        <f t="shared" si="0"/>
        <v>15.1552</v>
      </c>
      <c r="F5" s="52">
        <f t="shared" si="1"/>
        <v>15.1552</v>
      </c>
      <c r="G5" s="50">
        <v>2048</v>
      </c>
      <c r="H5" s="50">
        <v>2048</v>
      </c>
      <c r="I5" s="47">
        <v>7.4</v>
      </c>
      <c r="J5" s="49">
        <f t="shared" si="2"/>
        <v>4.194304</v>
      </c>
      <c r="K5" s="47"/>
      <c r="L5" s="47"/>
      <c r="M5" s="47">
        <v>16</v>
      </c>
      <c r="N5" s="47" t="s">
        <v>29</v>
      </c>
      <c r="O5" s="47" t="s">
        <v>30</v>
      </c>
      <c r="P5" s="47"/>
      <c r="Q5" s="50" t="s">
        <v>31</v>
      </c>
      <c r="R5" s="47" t="s">
        <v>27</v>
      </c>
    </row>
    <row r="6" spans="1:18" ht="12.75">
      <c r="A6" s="194"/>
      <c r="B6" s="47" t="s">
        <v>32</v>
      </c>
      <c r="C6" s="48" t="s">
        <v>28</v>
      </c>
      <c r="D6" s="47" t="s">
        <v>18</v>
      </c>
      <c r="E6" s="52">
        <f t="shared" si="0"/>
        <v>15.1552</v>
      </c>
      <c r="F6" s="52">
        <f t="shared" si="1"/>
        <v>15.1552</v>
      </c>
      <c r="G6" s="50">
        <v>2048</v>
      </c>
      <c r="H6" s="50">
        <v>2048</v>
      </c>
      <c r="I6" s="47">
        <v>7.4</v>
      </c>
      <c r="J6" s="49">
        <f t="shared" si="2"/>
        <v>4.194304</v>
      </c>
      <c r="K6" s="47"/>
      <c r="L6" s="47"/>
      <c r="M6" s="47">
        <v>16</v>
      </c>
      <c r="N6" s="47" t="s">
        <v>29</v>
      </c>
      <c r="O6" s="47" t="s">
        <v>30</v>
      </c>
      <c r="P6" s="47"/>
      <c r="Q6" s="50" t="s">
        <v>31</v>
      </c>
      <c r="R6" s="47" t="s">
        <v>33</v>
      </c>
    </row>
    <row r="7" spans="1:18" ht="12.75">
      <c r="A7" s="194"/>
      <c r="B7" s="47">
        <v>11000</v>
      </c>
      <c r="C7" s="48" t="s">
        <v>34</v>
      </c>
      <c r="D7" s="47" t="s">
        <v>18</v>
      </c>
      <c r="E7" s="52">
        <f t="shared" si="0"/>
        <v>36.072</v>
      </c>
      <c r="F7" s="52">
        <f t="shared" si="1"/>
        <v>24.048000000000002</v>
      </c>
      <c r="G7" s="50">
        <v>4008</v>
      </c>
      <c r="H7" s="50">
        <v>2672</v>
      </c>
      <c r="I7" s="47">
        <v>9</v>
      </c>
      <c r="J7" s="49">
        <f t="shared" si="2"/>
        <v>10.709375999999999</v>
      </c>
      <c r="K7" s="47"/>
      <c r="L7" s="47"/>
      <c r="M7" s="47">
        <v>16</v>
      </c>
      <c r="N7" s="47" t="s">
        <v>35</v>
      </c>
      <c r="O7" s="47" t="s">
        <v>36</v>
      </c>
      <c r="P7" s="47"/>
      <c r="Q7" s="50" t="s">
        <v>37</v>
      </c>
      <c r="R7" s="47" t="s">
        <v>38</v>
      </c>
    </row>
    <row r="8" spans="1:18" ht="12.75">
      <c r="A8" s="194"/>
      <c r="B8" s="53" t="s">
        <v>39</v>
      </c>
      <c r="C8" s="54" t="s">
        <v>40</v>
      </c>
      <c r="D8" s="53" t="s">
        <v>18</v>
      </c>
      <c r="E8" s="55">
        <f t="shared" si="0"/>
        <v>4.876600000000001</v>
      </c>
      <c r="F8" s="55">
        <f t="shared" si="1"/>
        <v>3.6556000000000006</v>
      </c>
      <c r="G8" s="56">
        <v>659</v>
      </c>
      <c r="H8" s="56">
        <v>494</v>
      </c>
      <c r="I8" s="53">
        <v>7.4</v>
      </c>
      <c r="J8" s="57">
        <f t="shared" si="2"/>
        <v>0.325546</v>
      </c>
      <c r="K8" s="53"/>
      <c r="L8" s="53"/>
      <c r="M8" s="53">
        <v>16</v>
      </c>
      <c r="N8" s="53" t="s">
        <v>26</v>
      </c>
      <c r="O8" s="53"/>
      <c r="P8" s="53"/>
      <c r="Q8" s="56"/>
      <c r="R8" s="53" t="s">
        <v>41</v>
      </c>
    </row>
    <row r="9" spans="1:18" ht="12.75">
      <c r="A9" s="194" t="s">
        <v>42</v>
      </c>
      <c r="B9" s="62" t="s">
        <v>43</v>
      </c>
      <c r="C9" s="63" t="s">
        <v>44</v>
      </c>
      <c r="D9" s="62" t="s">
        <v>18</v>
      </c>
      <c r="E9" s="64">
        <f>G9*I9*0.001</f>
        <v>3.6904</v>
      </c>
      <c r="F9" s="64">
        <f>H9*I9*0.001</f>
        <v>2.7663999999999995</v>
      </c>
      <c r="G9" s="65">
        <v>659</v>
      </c>
      <c r="H9" s="65">
        <v>494</v>
      </c>
      <c r="I9" s="62">
        <v>5.6</v>
      </c>
      <c r="J9" s="66">
        <f aca="true" t="shared" si="3" ref="J9:J21">0.000001*G9*H9</f>
        <v>0.325546</v>
      </c>
      <c r="K9" s="62" t="s">
        <v>45</v>
      </c>
      <c r="L9" s="62" t="s">
        <v>46</v>
      </c>
      <c r="M9" s="62" t="s">
        <v>55</v>
      </c>
      <c r="N9" s="62"/>
      <c r="O9" s="62"/>
      <c r="P9" s="62"/>
      <c r="Q9" s="65"/>
      <c r="R9" s="62"/>
    </row>
    <row r="10" spans="1:18" ht="12.75" customHeight="1">
      <c r="A10" s="194"/>
      <c r="B10" s="62" t="s">
        <v>47</v>
      </c>
      <c r="C10" s="63" t="s">
        <v>48</v>
      </c>
      <c r="D10" s="62" t="s">
        <v>18</v>
      </c>
      <c r="E10" s="64">
        <f>G10*I10*0.001</f>
        <v>4.86</v>
      </c>
      <c r="F10" s="64">
        <f>H10*I10*0.001</f>
        <v>3.6225</v>
      </c>
      <c r="G10" s="65">
        <v>1296</v>
      </c>
      <c r="H10" s="65">
        <v>966</v>
      </c>
      <c r="I10" s="62">
        <v>3.75</v>
      </c>
      <c r="J10" s="66">
        <f t="shared" si="3"/>
        <v>1.251936</v>
      </c>
      <c r="K10" s="62">
        <v>32</v>
      </c>
      <c r="L10" s="62" t="s">
        <v>49</v>
      </c>
      <c r="M10" s="62" t="s">
        <v>305</v>
      </c>
      <c r="N10" s="62"/>
      <c r="O10" s="62"/>
      <c r="P10" s="62"/>
      <c r="Q10" s="65"/>
      <c r="R10" s="62"/>
    </row>
    <row r="11" spans="1:18" ht="12.75" customHeight="1">
      <c r="A11" s="194"/>
      <c r="B11" s="62" t="s">
        <v>50</v>
      </c>
      <c r="C11" s="63" t="s">
        <v>51</v>
      </c>
      <c r="D11" s="62" t="s">
        <v>18</v>
      </c>
      <c r="E11" s="64">
        <f>G11*I11*0.001</f>
        <v>7.163200000000001</v>
      </c>
      <c r="F11" s="64">
        <f>H11*I11*0.001</f>
        <v>5.438400000000001</v>
      </c>
      <c r="G11" s="65">
        <v>1628</v>
      </c>
      <c r="H11" s="65">
        <v>1236</v>
      </c>
      <c r="I11" s="62">
        <v>4.4</v>
      </c>
      <c r="J11" s="66">
        <f t="shared" si="3"/>
        <v>2.0122079999999998</v>
      </c>
      <c r="K11" s="62">
        <v>17</v>
      </c>
      <c r="L11" s="62" t="s">
        <v>52</v>
      </c>
      <c r="M11" s="62" t="s">
        <v>306</v>
      </c>
      <c r="N11" s="62"/>
      <c r="O11" s="62"/>
      <c r="P11" s="62"/>
      <c r="Q11" s="65"/>
      <c r="R11" s="62"/>
    </row>
    <row r="12" spans="1:18" ht="12.75" customHeight="1">
      <c r="A12" s="194" t="s">
        <v>303</v>
      </c>
      <c r="B12" s="58" t="s">
        <v>340</v>
      </c>
      <c r="C12" s="59"/>
      <c r="D12" s="58" t="s">
        <v>211</v>
      </c>
      <c r="E12" s="60">
        <v>22.2</v>
      </c>
      <c r="F12" s="60">
        <v>14.8</v>
      </c>
      <c r="G12" s="61">
        <v>3888</v>
      </c>
      <c r="H12" s="61">
        <v>2592</v>
      </c>
      <c r="I12" s="60">
        <f>ROUND(E12/G12*1000,1)</f>
        <v>5.7</v>
      </c>
      <c r="J12" s="60">
        <f t="shared" si="3"/>
        <v>10.077696</v>
      </c>
      <c r="K12" s="58"/>
      <c r="L12" s="58"/>
      <c r="M12" s="58"/>
      <c r="N12" s="58"/>
      <c r="O12" s="58"/>
      <c r="P12" s="58"/>
      <c r="Q12" s="61"/>
      <c r="R12" s="58"/>
    </row>
    <row r="13" spans="1:18" ht="12.75" customHeight="1">
      <c r="A13" s="194"/>
      <c r="B13" s="47" t="s">
        <v>341</v>
      </c>
      <c r="C13" s="48"/>
      <c r="D13" s="47" t="s">
        <v>211</v>
      </c>
      <c r="E13" s="49">
        <v>22.2</v>
      </c>
      <c r="F13" s="49">
        <v>14.8</v>
      </c>
      <c r="G13" s="50">
        <v>4272</v>
      </c>
      <c r="H13" s="50">
        <v>2848</v>
      </c>
      <c r="I13" s="49">
        <f>ROUND(E13/G13*1000,1)</f>
        <v>5.2</v>
      </c>
      <c r="J13" s="49">
        <f t="shared" si="3"/>
        <v>12.166656</v>
      </c>
      <c r="K13" s="47"/>
      <c r="L13" s="47"/>
      <c r="M13" s="47"/>
      <c r="N13" s="47"/>
      <c r="O13" s="47"/>
      <c r="P13" s="47"/>
      <c r="Q13" s="50"/>
      <c r="R13" s="47"/>
    </row>
    <row r="14" spans="1:18" ht="12.75" customHeight="1">
      <c r="A14" s="194"/>
      <c r="B14" s="47" t="s">
        <v>342</v>
      </c>
      <c r="C14" s="48"/>
      <c r="D14" s="47" t="s">
        <v>211</v>
      </c>
      <c r="E14" s="49">
        <v>22.7</v>
      </c>
      <c r="F14" s="49">
        <v>15.1</v>
      </c>
      <c r="G14" s="50">
        <v>3072</v>
      </c>
      <c r="H14" s="50">
        <v>2048</v>
      </c>
      <c r="I14" s="49">
        <f>ROUND(E14/G14*1000,1)</f>
        <v>7.4</v>
      </c>
      <c r="J14" s="49">
        <f t="shared" si="3"/>
        <v>6.291456</v>
      </c>
      <c r="K14" s="47"/>
      <c r="L14" s="47"/>
      <c r="M14" s="47"/>
      <c r="N14" s="47"/>
      <c r="O14" s="47"/>
      <c r="P14" s="47"/>
      <c r="Q14" s="50"/>
      <c r="R14" s="47"/>
    </row>
    <row r="15" spans="1:18" ht="12.75" customHeight="1">
      <c r="A15" s="194"/>
      <c r="B15" s="47" t="s">
        <v>343</v>
      </c>
      <c r="C15" s="48"/>
      <c r="D15" s="47" t="s">
        <v>211</v>
      </c>
      <c r="E15" s="49">
        <v>22.2</v>
      </c>
      <c r="F15" s="49">
        <v>14.8</v>
      </c>
      <c r="G15" s="50">
        <v>3456</v>
      </c>
      <c r="H15" s="50">
        <v>2304</v>
      </c>
      <c r="I15" s="49">
        <f>ROUND(E15/G15*1000,1)</f>
        <v>6.4</v>
      </c>
      <c r="J15" s="49">
        <f t="shared" si="3"/>
        <v>7.962624</v>
      </c>
      <c r="K15" s="47"/>
      <c r="L15" s="47"/>
      <c r="M15" s="47"/>
      <c r="N15" s="47"/>
      <c r="O15" s="47"/>
      <c r="P15" s="47"/>
      <c r="Q15" s="50"/>
      <c r="R15" s="47"/>
    </row>
    <row r="16" spans="1:18" ht="12.75" customHeight="1">
      <c r="A16" s="194"/>
      <c r="B16" s="47" t="s">
        <v>344</v>
      </c>
      <c r="C16" s="48"/>
      <c r="D16" s="47" t="s">
        <v>211</v>
      </c>
      <c r="E16" s="49">
        <v>22.2</v>
      </c>
      <c r="F16" s="49">
        <v>14.8</v>
      </c>
      <c r="G16" s="50">
        <v>3888</v>
      </c>
      <c r="H16" s="50">
        <v>2592</v>
      </c>
      <c r="I16" s="49">
        <f aca="true" t="shared" si="4" ref="I16:I36">ROUND(E16/G16*1000,1)</f>
        <v>5.7</v>
      </c>
      <c r="J16" s="49">
        <f t="shared" si="3"/>
        <v>10.077696</v>
      </c>
      <c r="K16" s="47"/>
      <c r="L16" s="47"/>
      <c r="M16" s="47"/>
      <c r="N16" s="47"/>
      <c r="O16" s="47"/>
      <c r="P16" s="47"/>
      <c r="Q16" s="50"/>
      <c r="R16" s="47"/>
    </row>
    <row r="17" spans="1:18" ht="12.75" customHeight="1">
      <c r="A17" s="194"/>
      <c r="B17" s="47" t="s">
        <v>345</v>
      </c>
      <c r="C17" s="48"/>
      <c r="D17" s="47" t="s">
        <v>211</v>
      </c>
      <c r="E17" s="49">
        <v>22.2</v>
      </c>
      <c r="F17" s="49">
        <v>14.8</v>
      </c>
      <c r="G17" s="50">
        <v>4272</v>
      </c>
      <c r="H17" s="50">
        <v>2848</v>
      </c>
      <c r="I17" s="49">
        <f t="shared" si="4"/>
        <v>5.2</v>
      </c>
      <c r="J17" s="49">
        <f t="shared" si="3"/>
        <v>12.166656</v>
      </c>
      <c r="K17" s="47"/>
      <c r="L17" s="47"/>
      <c r="M17" s="47"/>
      <c r="N17" s="47"/>
      <c r="O17" s="47"/>
      <c r="P17" s="47"/>
      <c r="Q17" s="50"/>
      <c r="R17" s="47"/>
    </row>
    <row r="18" spans="1:18" ht="12.75" customHeight="1">
      <c r="A18" s="194"/>
      <c r="B18" s="47" t="s">
        <v>346</v>
      </c>
      <c r="C18" s="48"/>
      <c r="D18" s="47" t="s">
        <v>211</v>
      </c>
      <c r="E18" s="49">
        <v>22.3</v>
      </c>
      <c r="F18" s="49">
        <v>14.9</v>
      </c>
      <c r="G18" s="50">
        <v>4752</v>
      </c>
      <c r="H18" s="50">
        <v>3168</v>
      </c>
      <c r="I18" s="49">
        <f t="shared" si="4"/>
        <v>4.7</v>
      </c>
      <c r="J18" s="49">
        <f t="shared" si="3"/>
        <v>15.054336000000001</v>
      </c>
      <c r="K18" s="47"/>
      <c r="L18" s="47"/>
      <c r="M18" s="47"/>
      <c r="N18" s="47"/>
      <c r="O18" s="47"/>
      <c r="P18" s="47"/>
      <c r="Q18" s="50"/>
      <c r="R18" s="47"/>
    </row>
    <row r="19" spans="1:18" ht="12.75" customHeight="1">
      <c r="A19" s="194"/>
      <c r="B19" s="47" t="s">
        <v>347</v>
      </c>
      <c r="C19" s="48"/>
      <c r="D19" s="47" t="s">
        <v>211</v>
      </c>
      <c r="E19" s="49">
        <v>22.3</v>
      </c>
      <c r="F19" s="49">
        <v>14.9</v>
      </c>
      <c r="G19" s="50">
        <v>5184</v>
      </c>
      <c r="H19" s="50">
        <v>3456</v>
      </c>
      <c r="I19" s="49">
        <f t="shared" si="4"/>
        <v>4.3</v>
      </c>
      <c r="J19" s="49">
        <f t="shared" si="3"/>
        <v>17.915903999999998</v>
      </c>
      <c r="K19" s="51"/>
      <c r="L19" s="47"/>
      <c r="M19" s="47"/>
      <c r="N19" s="47"/>
      <c r="O19" s="47"/>
      <c r="P19" s="47"/>
      <c r="Q19" s="50"/>
      <c r="R19" s="47"/>
    </row>
    <row r="20" spans="1:18" ht="12.75" customHeight="1">
      <c r="A20" s="194"/>
      <c r="B20" s="47" t="s">
        <v>348</v>
      </c>
      <c r="C20" s="48"/>
      <c r="D20" s="47" t="s">
        <v>211</v>
      </c>
      <c r="E20" s="49">
        <v>22.3</v>
      </c>
      <c r="F20" s="49">
        <v>14.9</v>
      </c>
      <c r="G20" s="50">
        <v>5184</v>
      </c>
      <c r="H20" s="50">
        <v>3456</v>
      </c>
      <c r="I20" s="49">
        <f t="shared" si="4"/>
        <v>4.3</v>
      </c>
      <c r="J20" s="49">
        <f t="shared" si="3"/>
        <v>17.915903999999998</v>
      </c>
      <c r="K20" s="47"/>
      <c r="L20" s="47"/>
      <c r="M20" s="47"/>
      <c r="N20" s="47"/>
      <c r="O20" s="47"/>
      <c r="P20" s="47"/>
      <c r="Q20" s="50"/>
      <c r="R20" s="47"/>
    </row>
    <row r="21" spans="1:18" ht="12.75" customHeight="1">
      <c r="A21" s="194"/>
      <c r="B21" s="47" t="s">
        <v>335</v>
      </c>
      <c r="C21" s="48"/>
      <c r="D21" s="47" t="s">
        <v>211</v>
      </c>
      <c r="E21" s="49">
        <v>22.7</v>
      </c>
      <c r="F21" s="49">
        <v>15.1</v>
      </c>
      <c r="G21" s="50">
        <v>3072</v>
      </c>
      <c r="H21" s="50">
        <v>2048</v>
      </c>
      <c r="I21" s="49">
        <f t="shared" si="4"/>
        <v>7.4</v>
      </c>
      <c r="J21" s="49">
        <f t="shared" si="3"/>
        <v>6.291456</v>
      </c>
      <c r="K21" s="47"/>
      <c r="L21" s="47"/>
      <c r="M21" s="47"/>
      <c r="N21" s="47"/>
      <c r="O21" s="47"/>
      <c r="P21" s="47"/>
      <c r="Q21" s="50"/>
      <c r="R21" s="47"/>
    </row>
    <row r="22" spans="1:18" ht="12.75" customHeight="1">
      <c r="A22" s="194"/>
      <c r="B22" s="47" t="s">
        <v>349</v>
      </c>
      <c r="C22" s="48"/>
      <c r="D22" s="47" t="s">
        <v>211</v>
      </c>
      <c r="E22" s="49">
        <v>22.5</v>
      </c>
      <c r="F22" s="49">
        <v>15</v>
      </c>
      <c r="G22" s="50">
        <v>3504</v>
      </c>
      <c r="H22" s="50">
        <v>2336</v>
      </c>
      <c r="I22" s="49">
        <f t="shared" si="4"/>
        <v>6.4</v>
      </c>
      <c r="J22" s="49">
        <f aca="true" t="shared" si="5" ref="J22:J36">0.000001*G22*H22</f>
        <v>8.185343999999999</v>
      </c>
      <c r="K22" s="51"/>
      <c r="L22" s="47"/>
      <c r="M22" s="47"/>
      <c r="N22" s="47"/>
      <c r="O22" s="47"/>
      <c r="P22" s="47"/>
      <c r="Q22" s="50"/>
      <c r="R22" s="47"/>
    </row>
    <row r="23" spans="1:18" ht="12.75" customHeight="1">
      <c r="A23" s="194"/>
      <c r="B23" s="47" t="s">
        <v>350</v>
      </c>
      <c r="C23" s="48"/>
      <c r="D23" s="47" t="s">
        <v>211</v>
      </c>
      <c r="E23" s="49">
        <v>22.5</v>
      </c>
      <c r="F23" s="49">
        <v>15</v>
      </c>
      <c r="G23" s="50">
        <v>3504</v>
      </c>
      <c r="H23" s="50">
        <v>2336</v>
      </c>
      <c r="I23" s="49">
        <f t="shared" si="4"/>
        <v>6.4</v>
      </c>
      <c r="J23" s="49">
        <f t="shared" si="5"/>
        <v>8.185343999999999</v>
      </c>
      <c r="K23" s="47"/>
      <c r="L23" s="47"/>
      <c r="M23" s="47"/>
      <c r="N23" s="47"/>
      <c r="O23" s="47"/>
      <c r="P23" s="47"/>
      <c r="Q23" s="50"/>
      <c r="R23" s="47"/>
    </row>
    <row r="24" spans="1:18" ht="12.75" customHeight="1">
      <c r="A24" s="194"/>
      <c r="B24" s="47" t="s">
        <v>351</v>
      </c>
      <c r="C24" s="48"/>
      <c r="D24" s="47" t="s">
        <v>211</v>
      </c>
      <c r="E24" s="49">
        <v>22.2</v>
      </c>
      <c r="F24" s="49">
        <v>14.8</v>
      </c>
      <c r="G24" s="50">
        <v>3888</v>
      </c>
      <c r="H24" s="50">
        <v>2592</v>
      </c>
      <c r="I24" s="49">
        <f t="shared" si="4"/>
        <v>5.7</v>
      </c>
      <c r="J24" s="49">
        <f t="shared" si="5"/>
        <v>10.077696</v>
      </c>
      <c r="K24" s="47"/>
      <c r="L24" s="47"/>
      <c r="M24" s="47"/>
      <c r="N24" s="47"/>
      <c r="O24" s="47"/>
      <c r="P24" s="47"/>
      <c r="Q24" s="50"/>
      <c r="R24" s="47"/>
    </row>
    <row r="25" spans="1:18" ht="12.75" customHeight="1">
      <c r="A25" s="194"/>
      <c r="B25" s="47" t="s">
        <v>352</v>
      </c>
      <c r="C25" s="48"/>
      <c r="D25" s="47" t="s">
        <v>211</v>
      </c>
      <c r="E25" s="49">
        <v>22.2</v>
      </c>
      <c r="F25" s="49">
        <v>14.8</v>
      </c>
      <c r="G25" s="50">
        <v>4752</v>
      </c>
      <c r="H25" s="50">
        <v>3168</v>
      </c>
      <c r="I25" s="49">
        <f t="shared" si="4"/>
        <v>4.7</v>
      </c>
      <c r="J25" s="49">
        <f t="shared" si="5"/>
        <v>15.054336000000001</v>
      </c>
      <c r="K25" s="47"/>
      <c r="L25" s="47"/>
      <c r="M25" s="47"/>
      <c r="N25" s="47"/>
      <c r="O25" s="47"/>
      <c r="P25" s="47"/>
      <c r="Q25" s="50"/>
      <c r="R25" s="47"/>
    </row>
    <row r="26" spans="1:18" ht="12.75" customHeight="1">
      <c r="A26" s="194"/>
      <c r="B26" s="47" t="s">
        <v>353</v>
      </c>
      <c r="C26" s="48"/>
      <c r="D26" s="47" t="s">
        <v>211</v>
      </c>
      <c r="E26" s="49">
        <v>22.3</v>
      </c>
      <c r="F26" s="49">
        <v>14.9</v>
      </c>
      <c r="G26" s="50">
        <v>5184</v>
      </c>
      <c r="H26" s="50">
        <v>3456</v>
      </c>
      <c r="I26" s="49">
        <f t="shared" si="4"/>
        <v>4.3</v>
      </c>
      <c r="J26" s="49">
        <f t="shared" si="5"/>
        <v>17.915903999999998</v>
      </c>
      <c r="K26" s="47"/>
      <c r="L26" s="47"/>
      <c r="M26" s="47"/>
      <c r="N26" s="47"/>
      <c r="O26" s="47"/>
      <c r="P26" s="47"/>
      <c r="Q26" s="50"/>
      <c r="R26" s="47"/>
    </row>
    <row r="27" spans="1:18" ht="12.75" customHeight="1">
      <c r="A27" s="194"/>
      <c r="B27" s="47" t="s">
        <v>354</v>
      </c>
      <c r="C27" s="48"/>
      <c r="D27" s="47" t="s">
        <v>211</v>
      </c>
      <c r="E27" s="49">
        <v>22.2</v>
      </c>
      <c r="F27" s="49">
        <v>14.8</v>
      </c>
      <c r="G27" s="50">
        <v>5184</v>
      </c>
      <c r="H27" s="50">
        <v>3456</v>
      </c>
      <c r="I27" s="49">
        <f t="shared" si="4"/>
        <v>4.3</v>
      </c>
      <c r="J27" s="49">
        <f t="shared" si="5"/>
        <v>17.915903999999998</v>
      </c>
      <c r="K27" s="47"/>
      <c r="L27" s="47"/>
      <c r="M27" s="47"/>
      <c r="N27" s="47"/>
      <c r="O27" s="47"/>
      <c r="P27" s="47"/>
      <c r="Q27" s="50"/>
      <c r="R27" s="47"/>
    </row>
    <row r="28" spans="1:18" ht="12.75" customHeight="1">
      <c r="A28" s="194"/>
      <c r="B28" s="47" t="s">
        <v>355</v>
      </c>
      <c r="C28" s="48"/>
      <c r="D28" s="47" t="s">
        <v>211</v>
      </c>
      <c r="E28" s="49">
        <v>35.8</v>
      </c>
      <c r="F28" s="49">
        <v>23.9</v>
      </c>
      <c r="G28" s="50">
        <v>4368</v>
      </c>
      <c r="H28" s="50">
        <v>2912</v>
      </c>
      <c r="I28" s="49">
        <f t="shared" si="4"/>
        <v>8.2</v>
      </c>
      <c r="J28" s="49">
        <f t="shared" si="5"/>
        <v>12.719615999999998</v>
      </c>
      <c r="K28" s="47"/>
      <c r="L28" s="47"/>
      <c r="M28" s="47"/>
      <c r="N28" s="47"/>
      <c r="O28" s="47"/>
      <c r="P28" s="47"/>
      <c r="Q28" s="50"/>
      <c r="R28" s="47"/>
    </row>
    <row r="29" spans="1:18" ht="12.75" customHeight="1">
      <c r="A29" s="194"/>
      <c r="B29" s="47" t="s">
        <v>356</v>
      </c>
      <c r="C29" s="48"/>
      <c r="D29" s="47" t="s">
        <v>211</v>
      </c>
      <c r="E29" s="49">
        <v>35.8</v>
      </c>
      <c r="F29" s="49">
        <v>23.9</v>
      </c>
      <c r="G29" s="50">
        <v>5616</v>
      </c>
      <c r="H29" s="50">
        <v>3744</v>
      </c>
      <c r="I29" s="49">
        <f t="shared" si="4"/>
        <v>6.4</v>
      </c>
      <c r="J29" s="49">
        <f t="shared" si="5"/>
        <v>21.026304</v>
      </c>
      <c r="K29" s="51"/>
      <c r="L29" s="47"/>
      <c r="M29" s="47"/>
      <c r="N29" s="47"/>
      <c r="O29" s="47"/>
      <c r="P29" s="47"/>
      <c r="Q29" s="50"/>
      <c r="R29" s="47"/>
    </row>
    <row r="30" spans="1:18" ht="12.75" customHeight="1">
      <c r="A30" s="194"/>
      <c r="B30" s="47" t="s">
        <v>357</v>
      </c>
      <c r="C30" s="48"/>
      <c r="D30" s="47" t="s">
        <v>211</v>
      </c>
      <c r="E30" s="49">
        <v>28.7</v>
      </c>
      <c r="F30" s="49">
        <v>19.1</v>
      </c>
      <c r="G30" s="50">
        <v>2464</v>
      </c>
      <c r="H30" s="50">
        <v>1648</v>
      </c>
      <c r="I30" s="49">
        <f t="shared" si="4"/>
        <v>11.6</v>
      </c>
      <c r="J30" s="49">
        <f t="shared" si="5"/>
        <v>4.060672</v>
      </c>
      <c r="K30" s="47"/>
      <c r="L30" s="47"/>
      <c r="M30" s="47"/>
      <c r="N30" s="47"/>
      <c r="O30" s="47"/>
      <c r="P30" s="47"/>
      <c r="Q30" s="50"/>
      <c r="R30" s="47"/>
    </row>
    <row r="31" spans="1:18" ht="12.75" customHeight="1">
      <c r="A31" s="194"/>
      <c r="B31" s="47" t="s">
        <v>358</v>
      </c>
      <c r="C31" s="48"/>
      <c r="D31" s="47" t="s">
        <v>211</v>
      </c>
      <c r="E31" s="49">
        <v>28.7</v>
      </c>
      <c r="F31" s="49">
        <v>19.1</v>
      </c>
      <c r="G31" s="50">
        <v>3504</v>
      </c>
      <c r="H31" s="50">
        <v>2336</v>
      </c>
      <c r="I31" s="49">
        <f t="shared" si="4"/>
        <v>8.2</v>
      </c>
      <c r="J31" s="49">
        <f t="shared" si="5"/>
        <v>8.185343999999999</v>
      </c>
      <c r="K31" s="51"/>
      <c r="L31" s="47"/>
      <c r="M31" s="47"/>
      <c r="N31" s="47"/>
      <c r="O31" s="47"/>
      <c r="P31" s="47"/>
      <c r="Q31" s="50"/>
      <c r="R31" s="47"/>
    </row>
    <row r="32" spans="1:18" ht="12.75" customHeight="1">
      <c r="A32" s="194"/>
      <c r="B32" s="47" t="s">
        <v>359</v>
      </c>
      <c r="C32" s="48"/>
      <c r="D32" s="47" t="s">
        <v>211</v>
      </c>
      <c r="E32" s="49">
        <v>28.1</v>
      </c>
      <c r="F32" s="49">
        <v>18.7</v>
      </c>
      <c r="G32" s="50">
        <v>3888</v>
      </c>
      <c r="H32" s="50">
        <v>2592</v>
      </c>
      <c r="I32" s="49">
        <f>ROUND(E32/G32*1000,1)</f>
        <v>7.2</v>
      </c>
      <c r="J32" s="49">
        <f>0.000001*G32*H32</f>
        <v>10.077696</v>
      </c>
      <c r="K32" s="51"/>
      <c r="L32" s="47"/>
      <c r="M32" s="47"/>
      <c r="N32" s="47"/>
      <c r="O32" s="47"/>
      <c r="P32" s="47"/>
      <c r="Q32" s="50"/>
      <c r="R32" s="47"/>
    </row>
    <row r="33" spans="1:18" ht="12.75" customHeight="1">
      <c r="A33" s="194"/>
      <c r="B33" s="47" t="s">
        <v>363</v>
      </c>
      <c r="C33" s="48"/>
      <c r="D33" s="47" t="s">
        <v>211</v>
      </c>
      <c r="E33" s="49">
        <v>27.9</v>
      </c>
      <c r="F33" s="49">
        <v>18.6</v>
      </c>
      <c r="G33" s="50">
        <v>4896</v>
      </c>
      <c r="H33" s="50">
        <v>3264</v>
      </c>
      <c r="I33" s="49">
        <f>ROUND(E33/G33*1000,1)</f>
        <v>5.7</v>
      </c>
      <c r="J33" s="49">
        <f>0.000001*G33*H33</f>
        <v>15.980544</v>
      </c>
      <c r="K33" s="51"/>
      <c r="L33" s="47"/>
      <c r="M33" s="47"/>
      <c r="N33" s="47"/>
      <c r="O33" s="47"/>
      <c r="P33" s="47"/>
      <c r="Q33" s="50"/>
      <c r="R33" s="47"/>
    </row>
    <row r="34" spans="1:18" ht="12.75" customHeight="1">
      <c r="A34" s="194"/>
      <c r="B34" s="47" t="s">
        <v>360</v>
      </c>
      <c r="C34" s="48"/>
      <c r="D34" s="47" t="s">
        <v>211</v>
      </c>
      <c r="E34" s="49">
        <v>35.8</v>
      </c>
      <c r="F34" s="49">
        <v>23.8</v>
      </c>
      <c r="G34" s="50">
        <v>4064</v>
      </c>
      <c r="H34" s="50">
        <v>2704</v>
      </c>
      <c r="I34" s="49">
        <f t="shared" si="4"/>
        <v>8.8</v>
      </c>
      <c r="J34" s="49">
        <f t="shared" si="5"/>
        <v>10.989056</v>
      </c>
      <c r="K34" s="51"/>
      <c r="L34" s="47"/>
      <c r="M34" s="47"/>
      <c r="N34" s="47"/>
      <c r="O34" s="47"/>
      <c r="P34" s="47"/>
      <c r="Q34" s="50"/>
      <c r="R34" s="47"/>
    </row>
    <row r="35" spans="1:18" ht="12.75" customHeight="1">
      <c r="A35" s="194"/>
      <c r="B35" s="47" t="s">
        <v>361</v>
      </c>
      <c r="C35" s="48"/>
      <c r="D35" s="47" t="s">
        <v>211</v>
      </c>
      <c r="E35" s="49">
        <v>36</v>
      </c>
      <c r="F35" s="49">
        <v>24</v>
      </c>
      <c r="G35" s="50">
        <v>4992</v>
      </c>
      <c r="H35" s="50">
        <v>3328</v>
      </c>
      <c r="I35" s="49">
        <f t="shared" si="4"/>
        <v>7.2</v>
      </c>
      <c r="J35" s="49">
        <f t="shared" si="5"/>
        <v>16.613376</v>
      </c>
      <c r="K35" s="51"/>
      <c r="L35" s="47"/>
      <c r="M35" s="47"/>
      <c r="N35" s="47"/>
      <c r="O35" s="47"/>
      <c r="P35" s="47"/>
      <c r="Q35" s="50"/>
      <c r="R35" s="47"/>
    </row>
    <row r="36" spans="1:18" ht="12.75" customHeight="1">
      <c r="A36" s="194"/>
      <c r="B36" s="53" t="s">
        <v>362</v>
      </c>
      <c r="C36" s="54"/>
      <c r="D36" s="53" t="s">
        <v>211</v>
      </c>
      <c r="E36" s="57">
        <v>36</v>
      </c>
      <c r="F36" s="57">
        <v>24</v>
      </c>
      <c r="G36" s="56">
        <v>5616</v>
      </c>
      <c r="H36" s="56">
        <v>3744</v>
      </c>
      <c r="I36" s="57">
        <f t="shared" si="4"/>
        <v>6.4</v>
      </c>
      <c r="J36" s="57">
        <f t="shared" si="5"/>
        <v>21.026304</v>
      </c>
      <c r="K36" s="73"/>
      <c r="L36" s="53"/>
      <c r="M36" s="53"/>
      <c r="N36" s="53"/>
      <c r="O36" s="53"/>
      <c r="P36" s="53"/>
      <c r="Q36" s="56"/>
      <c r="R36" s="53"/>
    </row>
    <row r="37" spans="1:18" ht="12.75">
      <c r="A37" s="194" t="s">
        <v>53</v>
      </c>
      <c r="B37" s="62" t="s">
        <v>54</v>
      </c>
      <c r="C37" s="63" t="s">
        <v>40</v>
      </c>
      <c r="D37" s="62" t="s">
        <v>18</v>
      </c>
      <c r="E37" s="64">
        <f>G37*I37*0.001</f>
        <v>4.736</v>
      </c>
      <c r="F37" s="64">
        <f>H37*I37*0.001</f>
        <v>3.552</v>
      </c>
      <c r="G37" s="65">
        <v>640</v>
      </c>
      <c r="H37" s="65">
        <v>480</v>
      </c>
      <c r="I37" s="62">
        <v>7.4</v>
      </c>
      <c r="J37" s="66">
        <f aca="true" t="shared" si="6" ref="J37:J96">0.000001*G37*H37</f>
        <v>0.3072</v>
      </c>
      <c r="K37" s="65">
        <v>60</v>
      </c>
      <c r="L37" s="62"/>
      <c r="M37" s="62" t="s">
        <v>55</v>
      </c>
      <c r="N37" s="62"/>
      <c r="O37" s="62"/>
      <c r="P37" s="62"/>
      <c r="Q37" s="65"/>
      <c r="R37" s="62"/>
    </row>
    <row r="38" spans="1:18" ht="12.75">
      <c r="A38" s="194"/>
      <c r="B38" s="62" t="s">
        <v>56</v>
      </c>
      <c r="C38" s="63" t="s">
        <v>57</v>
      </c>
      <c r="D38" s="62" t="s">
        <v>18</v>
      </c>
      <c r="E38" s="64">
        <f>G38*I38*0.001</f>
        <v>6.4728</v>
      </c>
      <c r="F38" s="64">
        <f>H38*I38*0.001</f>
        <v>4.836</v>
      </c>
      <c r="G38" s="65">
        <v>1392</v>
      </c>
      <c r="H38" s="65">
        <v>1040</v>
      </c>
      <c r="I38" s="62">
        <v>4.65</v>
      </c>
      <c r="J38" s="66">
        <f t="shared" si="6"/>
        <v>1.44768</v>
      </c>
      <c r="K38" s="62">
        <v>15</v>
      </c>
      <c r="L38" s="62"/>
      <c r="M38" s="62" t="s">
        <v>55</v>
      </c>
      <c r="N38" s="62"/>
      <c r="O38" s="62"/>
      <c r="P38" s="62"/>
      <c r="Q38" s="65"/>
      <c r="R38" s="62"/>
    </row>
    <row r="39" spans="1:18" ht="12.75">
      <c r="A39" s="194"/>
      <c r="B39" s="62" t="s">
        <v>58</v>
      </c>
      <c r="C39" s="63" t="s">
        <v>51</v>
      </c>
      <c r="D39" s="62" t="s">
        <v>18</v>
      </c>
      <c r="E39" s="64">
        <f>G39*I39*0.001</f>
        <v>7.1104</v>
      </c>
      <c r="F39" s="64">
        <f>H39*I39*0.001</f>
        <v>5.420800000000001</v>
      </c>
      <c r="G39" s="65">
        <v>1616</v>
      </c>
      <c r="H39" s="65">
        <v>1232</v>
      </c>
      <c r="I39" s="62">
        <v>4.4</v>
      </c>
      <c r="J39" s="66">
        <f t="shared" si="6"/>
        <v>1.990912</v>
      </c>
      <c r="K39" s="62">
        <v>12</v>
      </c>
      <c r="L39" s="62"/>
      <c r="M39" s="62" t="s">
        <v>55</v>
      </c>
      <c r="N39" s="62"/>
      <c r="O39" s="62"/>
      <c r="P39" s="62"/>
      <c r="Q39" s="65"/>
      <c r="R39" s="62"/>
    </row>
    <row r="40" spans="1:18" ht="12.75">
      <c r="A40" s="194" t="s">
        <v>339</v>
      </c>
      <c r="B40" s="58" t="s">
        <v>364</v>
      </c>
      <c r="C40" s="59"/>
      <c r="D40" s="58" t="s">
        <v>18</v>
      </c>
      <c r="E40" s="60">
        <v>23.7</v>
      </c>
      <c r="F40" s="60">
        <v>15.6</v>
      </c>
      <c r="G40" s="61">
        <v>3008</v>
      </c>
      <c r="H40" s="61">
        <v>2000</v>
      </c>
      <c r="I40" s="60">
        <f aca="true" t="shared" si="7" ref="I40:I62">ROUND(E40/G40*1000,1)</f>
        <v>7.9</v>
      </c>
      <c r="J40" s="60">
        <f t="shared" si="6"/>
        <v>6.016</v>
      </c>
      <c r="K40" s="58"/>
      <c r="L40" s="58"/>
      <c r="M40" s="58"/>
      <c r="N40" s="58"/>
      <c r="O40" s="58"/>
      <c r="P40" s="58"/>
      <c r="Q40" s="61"/>
      <c r="R40" s="58"/>
    </row>
    <row r="41" spans="1:18" ht="12.75">
      <c r="A41" s="194"/>
      <c r="B41" s="47" t="s">
        <v>369</v>
      </c>
      <c r="C41" s="48"/>
      <c r="D41" s="47" t="s">
        <v>18</v>
      </c>
      <c r="E41" s="47">
        <v>23.7</v>
      </c>
      <c r="F41" s="49">
        <v>15.6</v>
      </c>
      <c r="G41" s="50">
        <v>3872</v>
      </c>
      <c r="H41" s="50">
        <v>2592</v>
      </c>
      <c r="I41" s="49">
        <f t="shared" si="7"/>
        <v>6.1</v>
      </c>
      <c r="J41" s="49">
        <f t="shared" si="6"/>
        <v>10.036224</v>
      </c>
      <c r="K41" s="47"/>
      <c r="L41" s="47"/>
      <c r="M41" s="47"/>
      <c r="N41" s="47"/>
      <c r="O41" s="47"/>
      <c r="P41" s="47"/>
      <c r="Q41" s="50"/>
      <c r="R41" s="47"/>
    </row>
    <row r="42" spans="1:18" ht="12.75">
      <c r="A42" s="194"/>
      <c r="B42" s="47" t="s">
        <v>365</v>
      </c>
      <c r="C42" s="48"/>
      <c r="D42" s="47" t="s">
        <v>18</v>
      </c>
      <c r="E42" s="47">
        <v>23.6</v>
      </c>
      <c r="F42" s="49">
        <v>15.8</v>
      </c>
      <c r="G42" s="50">
        <v>3872</v>
      </c>
      <c r="H42" s="50">
        <v>2592</v>
      </c>
      <c r="I42" s="49">
        <f t="shared" si="7"/>
        <v>6.1</v>
      </c>
      <c r="J42" s="49">
        <f t="shared" si="6"/>
        <v>10.036224</v>
      </c>
      <c r="K42" s="47"/>
      <c r="L42" s="47"/>
      <c r="M42" s="47"/>
      <c r="N42" s="47"/>
      <c r="O42" s="47"/>
      <c r="P42" s="47"/>
      <c r="Q42" s="50"/>
      <c r="R42" s="47"/>
    </row>
    <row r="43" spans="1:18" ht="12.75">
      <c r="A43" s="194"/>
      <c r="B43" s="47" t="s">
        <v>366</v>
      </c>
      <c r="C43" s="48"/>
      <c r="D43" s="47" t="s">
        <v>211</v>
      </c>
      <c r="E43" s="47">
        <v>23.1</v>
      </c>
      <c r="F43" s="49">
        <v>15.4</v>
      </c>
      <c r="G43" s="50">
        <v>4608</v>
      </c>
      <c r="H43" s="50">
        <v>3072</v>
      </c>
      <c r="I43" s="49">
        <f t="shared" si="7"/>
        <v>5</v>
      </c>
      <c r="J43" s="49">
        <f t="shared" si="6"/>
        <v>14.155776</v>
      </c>
      <c r="K43" s="47"/>
      <c r="L43" s="47"/>
      <c r="M43" s="47"/>
      <c r="N43" s="47"/>
      <c r="O43" s="47"/>
      <c r="P43" s="47"/>
      <c r="Q43" s="50"/>
      <c r="R43" s="47"/>
    </row>
    <row r="44" spans="1:18" ht="12.75">
      <c r="A44" s="194"/>
      <c r="B44" s="47" t="s">
        <v>367</v>
      </c>
      <c r="C44" s="48"/>
      <c r="D44" s="47" t="s">
        <v>18</v>
      </c>
      <c r="E44" s="49">
        <v>23.7</v>
      </c>
      <c r="F44" s="49">
        <v>15.6</v>
      </c>
      <c r="G44" s="50">
        <v>3008</v>
      </c>
      <c r="H44" s="50">
        <v>2000</v>
      </c>
      <c r="I44" s="49">
        <f t="shared" si="7"/>
        <v>7.9</v>
      </c>
      <c r="J44" s="49"/>
      <c r="K44" s="47"/>
      <c r="L44" s="47"/>
      <c r="M44" s="47"/>
      <c r="N44" s="47"/>
      <c r="O44" s="47"/>
      <c r="P44" s="47"/>
      <c r="Q44" s="50"/>
      <c r="R44" s="47"/>
    </row>
    <row r="45" spans="1:18" ht="12.75">
      <c r="A45" s="194"/>
      <c r="B45" s="47" t="s">
        <v>368</v>
      </c>
      <c r="C45" s="48"/>
      <c r="D45" s="47" t="s">
        <v>18</v>
      </c>
      <c r="E45" s="49">
        <v>23.6</v>
      </c>
      <c r="F45" s="49">
        <v>15.8</v>
      </c>
      <c r="G45" s="50">
        <v>3872</v>
      </c>
      <c r="H45" s="50">
        <v>2592</v>
      </c>
      <c r="I45" s="49">
        <f t="shared" si="7"/>
        <v>6.1</v>
      </c>
      <c r="J45" s="49"/>
      <c r="K45" s="47"/>
      <c r="L45" s="47"/>
      <c r="M45" s="47"/>
      <c r="N45" s="47"/>
      <c r="O45" s="47"/>
      <c r="P45" s="47"/>
      <c r="Q45" s="50"/>
      <c r="R45" s="47"/>
    </row>
    <row r="46" spans="1:18" ht="12.75">
      <c r="A46" s="194"/>
      <c r="B46" s="47" t="s">
        <v>370</v>
      </c>
      <c r="C46" s="48"/>
      <c r="D46" s="47" t="s">
        <v>211</v>
      </c>
      <c r="E46" s="49">
        <v>23.6</v>
      </c>
      <c r="F46" s="49">
        <v>15.8</v>
      </c>
      <c r="G46" s="50">
        <v>4288</v>
      </c>
      <c r="H46" s="50">
        <v>2848</v>
      </c>
      <c r="I46" s="49">
        <f t="shared" si="7"/>
        <v>5.5</v>
      </c>
      <c r="J46" s="49"/>
      <c r="K46" s="47"/>
      <c r="L46" s="47"/>
      <c r="M46" s="47"/>
      <c r="N46" s="47"/>
      <c r="O46" s="47"/>
      <c r="P46" s="47"/>
      <c r="Q46" s="50"/>
      <c r="R46" s="47"/>
    </row>
    <row r="47" spans="1:18" ht="12.75">
      <c r="A47" s="194"/>
      <c r="B47" s="47" t="s">
        <v>371</v>
      </c>
      <c r="C47" s="48"/>
      <c r="D47" s="47" t="s">
        <v>211</v>
      </c>
      <c r="E47" s="49">
        <v>23.6</v>
      </c>
      <c r="F47" s="49">
        <v>15.6</v>
      </c>
      <c r="G47" s="50">
        <v>4928</v>
      </c>
      <c r="H47" s="50">
        <v>3264</v>
      </c>
      <c r="I47" s="49">
        <f t="shared" si="7"/>
        <v>4.8</v>
      </c>
      <c r="J47" s="49"/>
      <c r="K47" s="47"/>
      <c r="L47" s="47"/>
      <c r="M47" s="47"/>
      <c r="N47" s="47"/>
      <c r="O47" s="47"/>
      <c r="P47" s="47"/>
      <c r="Q47" s="50"/>
      <c r="R47" s="47"/>
    </row>
    <row r="48" spans="1:18" ht="12.75">
      <c r="A48" s="194"/>
      <c r="B48" s="47" t="s">
        <v>388</v>
      </c>
      <c r="C48" s="48"/>
      <c r="D48" s="47" t="s">
        <v>18</v>
      </c>
      <c r="E48" s="49">
        <v>23.7</v>
      </c>
      <c r="F48" s="49">
        <v>15.6</v>
      </c>
      <c r="G48" s="50">
        <v>3008</v>
      </c>
      <c r="H48" s="50">
        <v>2000</v>
      </c>
      <c r="I48" s="49">
        <f t="shared" si="7"/>
        <v>7.9</v>
      </c>
      <c r="J48" s="49"/>
      <c r="K48" s="47"/>
      <c r="L48" s="47"/>
      <c r="M48" s="47"/>
      <c r="N48" s="47"/>
      <c r="O48" s="47"/>
      <c r="P48" s="47"/>
      <c r="Q48" s="50"/>
      <c r="R48" s="47"/>
    </row>
    <row r="49" spans="1:18" ht="12.75">
      <c r="A49" s="194"/>
      <c r="B49" s="47" t="s">
        <v>372</v>
      </c>
      <c r="C49" s="48"/>
      <c r="D49" s="47" t="s">
        <v>18</v>
      </c>
      <c r="E49" s="49">
        <v>23.6</v>
      </c>
      <c r="F49" s="49">
        <v>15.8</v>
      </c>
      <c r="G49" s="50">
        <v>3872</v>
      </c>
      <c r="H49" s="50">
        <v>2592</v>
      </c>
      <c r="I49" s="49">
        <f t="shared" si="7"/>
        <v>6.1</v>
      </c>
      <c r="J49" s="49"/>
      <c r="K49" s="47"/>
      <c r="L49" s="47"/>
      <c r="M49" s="47"/>
      <c r="N49" s="47"/>
      <c r="O49" s="47"/>
      <c r="P49" s="47"/>
      <c r="Q49" s="50"/>
      <c r="R49" s="47"/>
    </row>
    <row r="50" spans="1:18" ht="12.75">
      <c r="A50" s="194"/>
      <c r="B50" s="47" t="s">
        <v>373</v>
      </c>
      <c r="C50" s="48"/>
      <c r="D50" s="47" t="s">
        <v>211</v>
      </c>
      <c r="E50" s="49">
        <v>23.6</v>
      </c>
      <c r="F50" s="49">
        <v>15.8</v>
      </c>
      <c r="G50" s="50">
        <v>4928</v>
      </c>
      <c r="H50" s="50">
        <v>3264</v>
      </c>
      <c r="I50" s="49">
        <f t="shared" si="7"/>
        <v>4.8</v>
      </c>
      <c r="J50" s="49"/>
      <c r="K50" s="47"/>
      <c r="L50" s="47"/>
      <c r="M50" s="47"/>
      <c r="N50" s="47"/>
      <c r="O50" s="47"/>
      <c r="P50" s="47"/>
      <c r="Q50" s="50"/>
      <c r="R50" s="47"/>
    </row>
    <row r="51" spans="1:18" ht="12.75">
      <c r="A51" s="194"/>
      <c r="B51" s="47" t="s">
        <v>374</v>
      </c>
      <c r="C51" s="48"/>
      <c r="D51" s="47" t="s">
        <v>211</v>
      </c>
      <c r="E51" s="49">
        <v>23.6</v>
      </c>
      <c r="F51" s="49">
        <v>15.6</v>
      </c>
      <c r="G51" s="50">
        <v>4928</v>
      </c>
      <c r="H51" s="50">
        <v>3264</v>
      </c>
      <c r="I51" s="49">
        <f t="shared" si="7"/>
        <v>4.8</v>
      </c>
      <c r="J51" s="49"/>
      <c r="K51" s="47"/>
      <c r="L51" s="47"/>
      <c r="M51" s="47"/>
      <c r="N51" s="47"/>
      <c r="O51" s="47"/>
      <c r="P51" s="47"/>
      <c r="Q51" s="50"/>
      <c r="R51" s="47"/>
    </row>
    <row r="52" spans="1:18" ht="12.75">
      <c r="A52" s="194"/>
      <c r="B52" s="47" t="s">
        <v>375</v>
      </c>
      <c r="C52" s="48"/>
      <c r="D52" s="47" t="s">
        <v>18</v>
      </c>
      <c r="E52" s="49">
        <v>23.7</v>
      </c>
      <c r="F52" s="49">
        <v>15.6</v>
      </c>
      <c r="G52" s="50">
        <v>3008</v>
      </c>
      <c r="H52" s="50">
        <v>2000</v>
      </c>
      <c r="I52" s="49">
        <f t="shared" si="7"/>
        <v>7.9</v>
      </c>
      <c r="J52" s="49"/>
      <c r="K52" s="47"/>
      <c r="L52" s="47"/>
      <c r="M52" s="47"/>
      <c r="N52" s="47"/>
      <c r="O52" s="47"/>
      <c r="P52" s="47"/>
      <c r="Q52" s="50"/>
      <c r="R52" s="47"/>
    </row>
    <row r="53" spans="1:18" ht="12.75">
      <c r="A53" s="194"/>
      <c r="B53" s="47" t="s">
        <v>376</v>
      </c>
      <c r="C53" s="48"/>
      <c r="D53" s="47" t="s">
        <v>18</v>
      </c>
      <c r="E53" s="49">
        <v>23.7</v>
      </c>
      <c r="F53" s="49">
        <v>15.6</v>
      </c>
      <c r="G53" s="50">
        <v>3872</v>
      </c>
      <c r="H53" s="50">
        <v>2592</v>
      </c>
      <c r="I53" s="49">
        <f t="shared" si="7"/>
        <v>6.1</v>
      </c>
      <c r="J53" s="49"/>
      <c r="K53" s="47"/>
      <c r="L53" s="47"/>
      <c r="M53" s="47"/>
      <c r="N53" s="47"/>
      <c r="O53" s="47"/>
      <c r="P53" s="47"/>
      <c r="Q53" s="50"/>
      <c r="R53" s="47"/>
    </row>
    <row r="54" spans="1:18" ht="12.75">
      <c r="A54" s="194"/>
      <c r="B54" s="47" t="s">
        <v>387</v>
      </c>
      <c r="C54" s="48"/>
      <c r="D54" s="47" t="s">
        <v>211</v>
      </c>
      <c r="E54" s="49">
        <v>23.6</v>
      </c>
      <c r="F54" s="49">
        <v>15.8</v>
      </c>
      <c r="G54" s="50">
        <v>4288</v>
      </c>
      <c r="H54" s="50">
        <v>2848</v>
      </c>
      <c r="I54" s="49">
        <f t="shared" si="7"/>
        <v>5.5</v>
      </c>
      <c r="J54" s="49"/>
      <c r="K54" s="47"/>
      <c r="L54" s="47"/>
      <c r="M54" s="47"/>
      <c r="N54" s="47"/>
      <c r="O54" s="47"/>
      <c r="P54" s="47"/>
      <c r="Q54" s="50"/>
      <c r="R54" s="47"/>
    </row>
    <row r="55" spans="1:18" ht="12.75">
      <c r="A55" s="194"/>
      <c r="B55" s="47" t="s">
        <v>377</v>
      </c>
      <c r="C55" s="48"/>
      <c r="D55" s="47" t="s">
        <v>211</v>
      </c>
      <c r="E55" s="49">
        <v>36</v>
      </c>
      <c r="F55" s="49">
        <v>23.9</v>
      </c>
      <c r="G55" s="50">
        <v>4256</v>
      </c>
      <c r="H55" s="50">
        <v>2832</v>
      </c>
      <c r="I55" s="49">
        <f t="shared" si="7"/>
        <v>8.5</v>
      </c>
      <c r="J55" s="49"/>
      <c r="K55" s="47"/>
      <c r="L55" s="47"/>
      <c r="M55" s="47"/>
      <c r="N55" s="47"/>
      <c r="O55" s="47"/>
      <c r="P55" s="47"/>
      <c r="Q55" s="50"/>
      <c r="R55" s="47"/>
    </row>
    <row r="56" spans="1:18" ht="12.75">
      <c r="A56" s="194"/>
      <c r="B56" s="47" t="s">
        <v>378</v>
      </c>
      <c r="C56" s="48"/>
      <c r="D56" s="47" t="s">
        <v>18</v>
      </c>
      <c r="E56" s="49">
        <v>23.7</v>
      </c>
      <c r="F56" s="49">
        <v>15.6</v>
      </c>
      <c r="G56" s="50">
        <v>2000</v>
      </c>
      <c r="H56" s="50">
        <v>1312</v>
      </c>
      <c r="I56" s="49">
        <f t="shared" si="7"/>
        <v>11.9</v>
      </c>
      <c r="J56" s="49"/>
      <c r="K56" s="47"/>
      <c r="L56" s="47"/>
      <c r="M56" s="47"/>
      <c r="N56" s="47"/>
      <c r="O56" s="47"/>
      <c r="P56" s="47"/>
      <c r="Q56" s="50"/>
      <c r="R56" s="47"/>
    </row>
    <row r="57" spans="1:18" ht="12.75">
      <c r="A57" s="194"/>
      <c r="B57" s="47" t="s">
        <v>382</v>
      </c>
      <c r="C57" s="48"/>
      <c r="D57" s="47" t="s">
        <v>385</v>
      </c>
      <c r="E57" s="49">
        <v>23.3</v>
      </c>
      <c r="F57" s="49">
        <v>15.5</v>
      </c>
      <c r="G57" s="50">
        <v>2464</v>
      </c>
      <c r="H57" s="50">
        <v>1632</v>
      </c>
      <c r="I57" s="49">
        <f t="shared" si="7"/>
        <v>9.5</v>
      </c>
      <c r="J57" s="49"/>
      <c r="K57" s="47"/>
      <c r="L57" s="47"/>
      <c r="M57" s="47"/>
      <c r="N57" s="47"/>
      <c r="O57" s="47"/>
      <c r="P57" s="47"/>
      <c r="Q57" s="50"/>
      <c r="R57" s="47"/>
    </row>
    <row r="58" spans="1:18" ht="12.75">
      <c r="A58" s="194"/>
      <c r="B58" s="47" t="s">
        <v>386</v>
      </c>
      <c r="C58" s="48"/>
      <c r="D58" s="47" t="s">
        <v>211</v>
      </c>
      <c r="E58" s="49">
        <v>36</v>
      </c>
      <c r="F58" s="49">
        <v>23.9</v>
      </c>
      <c r="G58" s="50">
        <v>4256</v>
      </c>
      <c r="H58" s="50">
        <v>2832</v>
      </c>
      <c r="I58" s="49">
        <f t="shared" si="7"/>
        <v>8.5</v>
      </c>
      <c r="J58" s="49"/>
      <c r="K58" s="47"/>
      <c r="L58" s="47"/>
      <c r="M58" s="47"/>
      <c r="N58" s="47"/>
      <c r="O58" s="47"/>
      <c r="P58" s="47"/>
      <c r="Q58" s="50"/>
      <c r="R58" s="47"/>
    </row>
    <row r="59" spans="1:18" ht="12.75">
      <c r="A59" s="194"/>
      <c r="B59" s="47" t="s">
        <v>379</v>
      </c>
      <c r="C59" s="48"/>
      <c r="D59" s="47" t="s">
        <v>18</v>
      </c>
      <c r="E59" s="49">
        <v>23.7</v>
      </c>
      <c r="F59" s="49">
        <v>15.6</v>
      </c>
      <c r="G59" s="50">
        <v>2000</v>
      </c>
      <c r="H59" s="50">
        <v>1312</v>
      </c>
      <c r="I59" s="49">
        <f t="shared" si="7"/>
        <v>11.9</v>
      </c>
      <c r="J59" s="49"/>
      <c r="K59" s="47"/>
      <c r="L59" s="47"/>
      <c r="M59" s="47"/>
      <c r="N59" s="47"/>
      <c r="O59" s="47"/>
      <c r="P59" s="47"/>
      <c r="Q59" s="50"/>
      <c r="R59" s="47"/>
    </row>
    <row r="60" spans="1:18" ht="12.75">
      <c r="A60" s="194"/>
      <c r="B60" s="47" t="s">
        <v>380</v>
      </c>
      <c r="C60" s="48"/>
      <c r="D60" s="47" t="s">
        <v>18</v>
      </c>
      <c r="E60" s="49">
        <v>23.7</v>
      </c>
      <c r="F60" s="49">
        <v>15.6</v>
      </c>
      <c r="G60" s="50">
        <v>3008</v>
      </c>
      <c r="H60" s="50">
        <v>1960</v>
      </c>
      <c r="I60" s="49">
        <f t="shared" si="7"/>
        <v>7.9</v>
      </c>
      <c r="J60" s="49"/>
      <c r="K60" s="47"/>
      <c r="L60" s="47"/>
      <c r="M60" s="47"/>
      <c r="N60" s="47"/>
      <c r="O60" s="47"/>
      <c r="P60" s="47"/>
      <c r="Q60" s="50"/>
      <c r="R60" s="47"/>
    </row>
    <row r="61" spans="1:18" ht="12.75">
      <c r="A61" s="194"/>
      <c r="B61" s="47" t="s">
        <v>384</v>
      </c>
      <c r="C61" s="48" t="s">
        <v>383</v>
      </c>
      <c r="D61" s="47" t="s">
        <v>211</v>
      </c>
      <c r="E61" s="49">
        <v>23.7</v>
      </c>
      <c r="F61" s="49">
        <v>15.7</v>
      </c>
      <c r="G61" s="50">
        <v>4288</v>
      </c>
      <c r="H61" s="50">
        <v>2848</v>
      </c>
      <c r="I61" s="49">
        <f t="shared" si="7"/>
        <v>5.5</v>
      </c>
      <c r="J61" s="49"/>
      <c r="K61" s="47"/>
      <c r="L61" s="47"/>
      <c r="M61" s="47"/>
      <c r="N61" s="47"/>
      <c r="O61" s="47"/>
      <c r="P61" s="47"/>
      <c r="Q61" s="50"/>
      <c r="R61" s="47"/>
    </row>
    <row r="62" spans="1:18" ht="12.75">
      <c r="A62" s="194"/>
      <c r="B62" s="53" t="s">
        <v>381</v>
      </c>
      <c r="C62" s="48"/>
      <c r="D62" s="47" t="s">
        <v>211</v>
      </c>
      <c r="E62" s="49">
        <v>35.9</v>
      </c>
      <c r="F62" s="49">
        <v>24</v>
      </c>
      <c r="G62" s="50">
        <v>6048</v>
      </c>
      <c r="H62" s="50">
        <v>4032</v>
      </c>
      <c r="I62" s="49">
        <f t="shared" si="7"/>
        <v>5.9</v>
      </c>
      <c r="J62" s="49"/>
      <c r="K62" s="47"/>
      <c r="L62" s="47"/>
      <c r="M62" s="47"/>
      <c r="N62" s="47"/>
      <c r="O62" s="47"/>
      <c r="P62" s="47"/>
      <c r="Q62" s="50"/>
      <c r="R62" s="47"/>
    </row>
    <row r="63" spans="1:18" ht="12.75">
      <c r="A63" s="194" t="s">
        <v>59</v>
      </c>
      <c r="B63" s="62">
        <v>583</v>
      </c>
      <c r="C63" s="68" t="s">
        <v>25</v>
      </c>
      <c r="D63" s="67" t="s">
        <v>18</v>
      </c>
      <c r="E63" s="69">
        <f aca="true" t="shared" si="8" ref="E63:E95">G63*I63*0.001</f>
        <v>17.960400000000003</v>
      </c>
      <c r="F63" s="69">
        <f aca="true" t="shared" si="9" ref="F63:F95">H63*I63*0.001</f>
        <v>13.521600000000001</v>
      </c>
      <c r="G63" s="70">
        <v>3326</v>
      </c>
      <c r="H63" s="70">
        <v>2504</v>
      </c>
      <c r="I63" s="67">
        <v>5.4</v>
      </c>
      <c r="J63" s="71">
        <f t="shared" si="6"/>
        <v>8.328304</v>
      </c>
      <c r="K63" s="72"/>
      <c r="L63" s="67" t="s">
        <v>60</v>
      </c>
      <c r="M63" s="67">
        <v>16</v>
      </c>
      <c r="N63" s="67" t="s">
        <v>61</v>
      </c>
      <c r="O63" s="67" t="s">
        <v>62</v>
      </c>
      <c r="P63" s="67" t="s">
        <v>63</v>
      </c>
      <c r="Q63" s="70" t="s">
        <v>64</v>
      </c>
      <c r="R63" s="67" t="s">
        <v>65</v>
      </c>
    </row>
    <row r="64" spans="1:18" ht="12.75">
      <c r="A64" s="194"/>
      <c r="B64" s="67">
        <v>540</v>
      </c>
      <c r="C64" s="63" t="s">
        <v>28</v>
      </c>
      <c r="D64" s="62" t="s">
        <v>18</v>
      </c>
      <c r="E64" s="64">
        <f t="shared" si="8"/>
        <v>15.1552</v>
      </c>
      <c r="F64" s="64">
        <f t="shared" si="9"/>
        <v>15.1552</v>
      </c>
      <c r="G64" s="65">
        <v>2048</v>
      </c>
      <c r="H64" s="65">
        <v>2048</v>
      </c>
      <c r="I64" s="62">
        <v>7.4</v>
      </c>
      <c r="J64" s="66">
        <f t="shared" si="6"/>
        <v>4.194304</v>
      </c>
      <c r="K64" s="62"/>
      <c r="L64" s="62" t="s">
        <v>66</v>
      </c>
      <c r="M64" s="62">
        <v>16</v>
      </c>
      <c r="N64" s="62" t="s">
        <v>67</v>
      </c>
      <c r="O64" s="62" t="s">
        <v>68</v>
      </c>
      <c r="P64" s="62" t="s">
        <v>69</v>
      </c>
      <c r="Q64" s="65" t="s">
        <v>31</v>
      </c>
      <c r="R64" s="62" t="s">
        <v>65</v>
      </c>
    </row>
    <row r="65" spans="1:18" ht="12.75">
      <c r="A65" s="194"/>
      <c r="B65" s="62">
        <v>532</v>
      </c>
      <c r="C65" s="63" t="s">
        <v>70</v>
      </c>
      <c r="D65" s="62" t="s">
        <v>18</v>
      </c>
      <c r="E65" s="64">
        <f t="shared" si="8"/>
        <v>14.851199999999999</v>
      </c>
      <c r="F65" s="64">
        <f t="shared" si="9"/>
        <v>10.0096</v>
      </c>
      <c r="G65" s="65">
        <v>2184</v>
      </c>
      <c r="H65" s="65">
        <v>1472</v>
      </c>
      <c r="I65" s="62">
        <v>6.8</v>
      </c>
      <c r="J65" s="66">
        <f t="shared" si="6"/>
        <v>3.2148479999999995</v>
      </c>
      <c r="K65" s="62"/>
      <c r="L65" s="62" t="s">
        <v>71</v>
      </c>
      <c r="M65" s="62">
        <v>16</v>
      </c>
      <c r="N65" s="62" t="s">
        <v>72</v>
      </c>
      <c r="O65" s="62" t="s">
        <v>73</v>
      </c>
      <c r="P65" s="62" t="s">
        <v>74</v>
      </c>
      <c r="Q65" s="65" t="s">
        <v>75</v>
      </c>
      <c r="R65" s="62" t="s">
        <v>65</v>
      </c>
    </row>
    <row r="66" spans="1:18" ht="12.75">
      <c r="A66" s="194"/>
      <c r="B66" s="62">
        <v>520</v>
      </c>
      <c r="C66" s="63" t="s">
        <v>76</v>
      </c>
      <c r="D66" s="62" t="s">
        <v>18</v>
      </c>
      <c r="E66" s="64">
        <f t="shared" si="8"/>
        <v>11.84</v>
      </c>
      <c r="F66" s="64">
        <f t="shared" si="9"/>
        <v>8.88</v>
      </c>
      <c r="G66" s="65">
        <v>1600</v>
      </c>
      <c r="H66" s="65">
        <v>1200</v>
      </c>
      <c r="I66" s="62">
        <v>7.4</v>
      </c>
      <c r="J66" s="66">
        <f t="shared" si="6"/>
        <v>1.92</v>
      </c>
      <c r="K66" s="62"/>
      <c r="L66" s="62" t="s">
        <v>66</v>
      </c>
      <c r="M66" s="62">
        <v>16</v>
      </c>
      <c r="N66" s="62" t="s">
        <v>67</v>
      </c>
      <c r="O66" s="62" t="s">
        <v>68</v>
      </c>
      <c r="P66" s="62" t="s">
        <v>77</v>
      </c>
      <c r="Q66" s="65" t="s">
        <v>78</v>
      </c>
      <c r="R66" s="62" t="s">
        <v>65</v>
      </c>
    </row>
    <row r="67" spans="1:18" ht="12.75">
      <c r="A67" s="194"/>
      <c r="B67" s="62">
        <v>516</v>
      </c>
      <c r="C67" s="63" t="s">
        <v>79</v>
      </c>
      <c r="D67" s="62" t="s">
        <v>18</v>
      </c>
      <c r="E67" s="64">
        <f t="shared" si="8"/>
        <v>13.824</v>
      </c>
      <c r="F67" s="64">
        <f t="shared" si="9"/>
        <v>9.216000000000001</v>
      </c>
      <c r="G67" s="65">
        <v>1536</v>
      </c>
      <c r="H67" s="65">
        <v>1024</v>
      </c>
      <c r="I67" s="62">
        <v>9</v>
      </c>
      <c r="J67" s="66">
        <f t="shared" si="6"/>
        <v>1.572864</v>
      </c>
      <c r="K67" s="62"/>
      <c r="L67" s="62" t="s">
        <v>80</v>
      </c>
      <c r="M67" s="62">
        <v>16</v>
      </c>
      <c r="N67" s="62" t="s">
        <v>81</v>
      </c>
      <c r="O67" s="62" t="s">
        <v>82</v>
      </c>
      <c r="P67" s="62" t="s">
        <v>83</v>
      </c>
      <c r="Q67" s="65" t="s">
        <v>84</v>
      </c>
      <c r="R67" s="62" t="s">
        <v>65</v>
      </c>
    </row>
    <row r="68" spans="1:18" ht="12.75">
      <c r="A68" s="194"/>
      <c r="B68" s="74">
        <v>504</v>
      </c>
      <c r="C68" s="75" t="s">
        <v>85</v>
      </c>
      <c r="D68" s="74" t="s">
        <v>18</v>
      </c>
      <c r="E68" s="76">
        <f t="shared" si="8"/>
        <v>6.912</v>
      </c>
      <c r="F68" s="76">
        <f t="shared" si="9"/>
        <v>4.6080000000000005</v>
      </c>
      <c r="G68" s="77">
        <v>768</v>
      </c>
      <c r="H68" s="77">
        <v>512</v>
      </c>
      <c r="I68" s="74">
        <v>9</v>
      </c>
      <c r="J68" s="78">
        <f t="shared" si="6"/>
        <v>0.393216</v>
      </c>
      <c r="K68" s="74"/>
      <c r="L68" s="74" t="s">
        <v>80</v>
      </c>
      <c r="M68" s="74">
        <v>16</v>
      </c>
      <c r="N68" s="74" t="s">
        <v>81</v>
      </c>
      <c r="O68" s="74" t="s">
        <v>82</v>
      </c>
      <c r="P68" s="74" t="s">
        <v>86</v>
      </c>
      <c r="Q68" s="77" t="s">
        <v>84</v>
      </c>
      <c r="R68" s="74" t="s">
        <v>65</v>
      </c>
    </row>
    <row r="69" spans="1:18" ht="12.75">
      <c r="A69" s="194" t="s">
        <v>87</v>
      </c>
      <c r="B69" s="47" t="s">
        <v>88</v>
      </c>
      <c r="C69" s="48" t="s">
        <v>89</v>
      </c>
      <c r="D69" s="47" t="s">
        <v>18</v>
      </c>
      <c r="E69" s="52">
        <f t="shared" si="8"/>
        <v>6.885</v>
      </c>
      <c r="F69" s="52">
        <f t="shared" si="9"/>
        <v>4.59</v>
      </c>
      <c r="G69" s="50">
        <v>765</v>
      </c>
      <c r="H69" s="50">
        <v>510</v>
      </c>
      <c r="I69" s="47">
        <v>9</v>
      </c>
      <c r="J69" s="49">
        <f t="shared" si="6"/>
        <v>0.39015</v>
      </c>
      <c r="K69" s="47"/>
      <c r="L69" s="47"/>
      <c r="M69" s="47">
        <v>16</v>
      </c>
      <c r="N69" s="47" t="s">
        <v>90</v>
      </c>
      <c r="O69" s="47" t="s">
        <v>91</v>
      </c>
      <c r="P69" s="47" t="s">
        <v>92</v>
      </c>
      <c r="Q69" s="50"/>
      <c r="R69" s="47" t="s">
        <v>389</v>
      </c>
    </row>
    <row r="70" spans="1:18" ht="12.75">
      <c r="A70" s="194"/>
      <c r="B70" s="47" t="s">
        <v>93</v>
      </c>
      <c r="C70" s="48" t="s">
        <v>89</v>
      </c>
      <c r="D70" s="47" t="s">
        <v>18</v>
      </c>
      <c r="E70" s="52">
        <f t="shared" si="8"/>
        <v>6.885</v>
      </c>
      <c r="F70" s="52">
        <f t="shared" si="9"/>
        <v>4.59</v>
      </c>
      <c r="G70" s="50">
        <v>765</v>
      </c>
      <c r="H70" s="50">
        <v>510</v>
      </c>
      <c r="I70" s="47">
        <v>9</v>
      </c>
      <c r="J70" s="49">
        <f t="shared" si="6"/>
        <v>0.39015</v>
      </c>
      <c r="K70" s="47"/>
      <c r="L70" s="47"/>
      <c r="M70" s="47">
        <v>16</v>
      </c>
      <c r="N70" s="47" t="s">
        <v>94</v>
      </c>
      <c r="O70" s="47" t="s">
        <v>91</v>
      </c>
      <c r="P70" s="47" t="s">
        <v>95</v>
      </c>
      <c r="Q70" s="50"/>
      <c r="R70" s="47" t="s">
        <v>389</v>
      </c>
    </row>
    <row r="71" spans="1:18" ht="12.75">
      <c r="A71" s="194"/>
      <c r="B71" s="47" t="s">
        <v>96</v>
      </c>
      <c r="C71" s="48" t="s">
        <v>97</v>
      </c>
      <c r="D71" s="47" t="s">
        <v>18</v>
      </c>
      <c r="E71" s="52">
        <f t="shared" si="8"/>
        <v>13.77</v>
      </c>
      <c r="F71" s="52">
        <f t="shared" si="9"/>
        <v>9.18</v>
      </c>
      <c r="G71" s="50">
        <v>1530</v>
      </c>
      <c r="H71" s="50">
        <v>1020</v>
      </c>
      <c r="I71" s="47">
        <v>9</v>
      </c>
      <c r="J71" s="49">
        <f t="shared" si="6"/>
        <v>1.5606</v>
      </c>
      <c r="K71" s="47"/>
      <c r="L71" s="47"/>
      <c r="M71" s="47">
        <v>16</v>
      </c>
      <c r="N71" s="47" t="s">
        <v>81</v>
      </c>
      <c r="O71" s="47" t="s">
        <v>91</v>
      </c>
      <c r="P71" s="47" t="s">
        <v>98</v>
      </c>
      <c r="Q71" s="50"/>
      <c r="R71" s="47" t="s">
        <v>389</v>
      </c>
    </row>
    <row r="72" spans="1:18" ht="12.75">
      <c r="A72" s="194"/>
      <c r="B72" s="47" t="s">
        <v>99</v>
      </c>
      <c r="C72" s="48" t="s">
        <v>100</v>
      </c>
      <c r="D72" s="47" t="s">
        <v>18</v>
      </c>
      <c r="E72" s="52">
        <f t="shared" si="8"/>
        <v>10.24</v>
      </c>
      <c r="F72" s="52">
        <f t="shared" si="9"/>
        <v>10.24</v>
      </c>
      <c r="G72" s="50">
        <v>512</v>
      </c>
      <c r="H72" s="50">
        <v>512</v>
      </c>
      <c r="I72" s="47">
        <v>20</v>
      </c>
      <c r="J72" s="49">
        <f t="shared" si="6"/>
        <v>0.262144</v>
      </c>
      <c r="K72" s="47"/>
      <c r="L72" s="47"/>
      <c r="M72" s="47">
        <v>16</v>
      </c>
      <c r="N72" s="47" t="s">
        <v>81</v>
      </c>
      <c r="O72" s="47" t="s">
        <v>101</v>
      </c>
      <c r="P72" s="47" t="s">
        <v>102</v>
      </c>
      <c r="Q72" s="50"/>
      <c r="R72" s="47" t="s">
        <v>389</v>
      </c>
    </row>
    <row r="73" spans="1:18" ht="12.75">
      <c r="A73" s="194"/>
      <c r="B73" s="47" t="s">
        <v>103</v>
      </c>
      <c r="C73" s="48" t="s">
        <v>104</v>
      </c>
      <c r="D73" s="47" t="s">
        <v>18</v>
      </c>
      <c r="E73" s="52">
        <f t="shared" si="8"/>
        <v>14.851199999999999</v>
      </c>
      <c r="F73" s="52">
        <f t="shared" si="9"/>
        <v>10.0096</v>
      </c>
      <c r="G73" s="50">
        <v>2184</v>
      </c>
      <c r="H73" s="50">
        <v>1472</v>
      </c>
      <c r="I73" s="47">
        <v>6.8</v>
      </c>
      <c r="J73" s="49">
        <f t="shared" si="6"/>
        <v>3.2148479999999995</v>
      </c>
      <c r="K73" s="47"/>
      <c r="L73" s="47"/>
      <c r="M73" s="47">
        <v>16</v>
      </c>
      <c r="N73" s="47" t="s">
        <v>105</v>
      </c>
      <c r="O73" s="47" t="s">
        <v>91</v>
      </c>
      <c r="P73" s="47" t="s">
        <v>106</v>
      </c>
      <c r="Q73" s="50"/>
      <c r="R73" s="47" t="s">
        <v>389</v>
      </c>
    </row>
    <row r="74" spans="1:18" ht="12.75">
      <c r="A74" s="194"/>
      <c r="B74" s="47" t="s">
        <v>107</v>
      </c>
      <c r="C74" s="48" t="s">
        <v>97</v>
      </c>
      <c r="D74" s="47" t="s">
        <v>18</v>
      </c>
      <c r="E74" s="52">
        <f t="shared" si="8"/>
        <v>13.77</v>
      </c>
      <c r="F74" s="52">
        <f t="shared" si="9"/>
        <v>9.18</v>
      </c>
      <c r="G74" s="50">
        <v>1530</v>
      </c>
      <c r="H74" s="50">
        <v>1020</v>
      </c>
      <c r="I74" s="47">
        <v>9</v>
      </c>
      <c r="J74" s="49">
        <f t="shared" si="6"/>
        <v>1.5606</v>
      </c>
      <c r="K74" s="47"/>
      <c r="L74" s="47"/>
      <c r="M74" s="47">
        <v>16</v>
      </c>
      <c r="N74" s="47" t="s">
        <v>90</v>
      </c>
      <c r="O74" s="47" t="s">
        <v>91</v>
      </c>
      <c r="P74" s="47" t="s">
        <v>108</v>
      </c>
      <c r="Q74" s="50"/>
      <c r="R74" s="47" t="s">
        <v>389</v>
      </c>
    </row>
    <row r="75" spans="1:18" ht="12.75">
      <c r="A75" s="194"/>
      <c r="B75" s="47" t="s">
        <v>109</v>
      </c>
      <c r="C75" s="48" t="s">
        <v>110</v>
      </c>
      <c r="D75" s="47" t="s">
        <v>18</v>
      </c>
      <c r="E75" s="52">
        <f t="shared" si="8"/>
        <v>11.84</v>
      </c>
      <c r="F75" s="52">
        <f t="shared" si="9"/>
        <v>8.88</v>
      </c>
      <c r="G75" s="50">
        <v>1600</v>
      </c>
      <c r="H75" s="50">
        <v>1200</v>
      </c>
      <c r="I75" s="47">
        <v>7.4</v>
      </c>
      <c r="J75" s="49">
        <f t="shared" si="6"/>
        <v>1.92</v>
      </c>
      <c r="K75" s="47"/>
      <c r="L75" s="47"/>
      <c r="M75" s="47">
        <v>16</v>
      </c>
      <c r="N75" s="47" t="s">
        <v>111</v>
      </c>
      <c r="O75" s="47" t="s">
        <v>112</v>
      </c>
      <c r="P75" s="47" t="s">
        <v>113</v>
      </c>
      <c r="Q75" s="50"/>
      <c r="R75" s="47" t="s">
        <v>389</v>
      </c>
    </row>
    <row r="76" spans="1:18" ht="12.75">
      <c r="A76" s="194"/>
      <c r="B76" s="47" t="s">
        <v>114</v>
      </c>
      <c r="C76" s="48" t="s">
        <v>104</v>
      </c>
      <c r="D76" s="47" t="s">
        <v>18</v>
      </c>
      <c r="E76" s="52">
        <f t="shared" si="8"/>
        <v>14.851199999999999</v>
      </c>
      <c r="F76" s="52">
        <f t="shared" si="9"/>
        <v>10.0096</v>
      </c>
      <c r="G76" s="50">
        <v>2184</v>
      </c>
      <c r="H76" s="50">
        <v>1472</v>
      </c>
      <c r="I76" s="47">
        <v>6.8</v>
      </c>
      <c r="J76" s="49">
        <f t="shared" si="6"/>
        <v>3.2148479999999995</v>
      </c>
      <c r="K76" s="47"/>
      <c r="L76" s="47"/>
      <c r="M76" s="47">
        <v>16</v>
      </c>
      <c r="N76" s="47" t="s">
        <v>115</v>
      </c>
      <c r="O76" s="47" t="s">
        <v>91</v>
      </c>
      <c r="P76" s="47" t="s">
        <v>98</v>
      </c>
      <c r="Q76" s="50"/>
      <c r="R76" s="47" t="s">
        <v>389</v>
      </c>
    </row>
    <row r="77" spans="1:18" ht="12.75">
      <c r="A77" s="194"/>
      <c r="B77" s="47" t="s">
        <v>116</v>
      </c>
      <c r="C77" s="48" t="s">
        <v>25</v>
      </c>
      <c r="D77" s="47" t="s">
        <v>18</v>
      </c>
      <c r="E77" s="52">
        <f t="shared" si="8"/>
        <v>17.960400000000003</v>
      </c>
      <c r="F77" s="52">
        <f t="shared" si="9"/>
        <v>13.521600000000001</v>
      </c>
      <c r="G77" s="50">
        <v>3326</v>
      </c>
      <c r="H77" s="50">
        <v>2504</v>
      </c>
      <c r="I77" s="47">
        <v>5.4</v>
      </c>
      <c r="J77" s="49">
        <f t="shared" si="6"/>
        <v>8.328304</v>
      </c>
      <c r="K77" s="47"/>
      <c r="L77" s="47"/>
      <c r="M77" s="47">
        <v>16</v>
      </c>
      <c r="N77" s="47" t="s">
        <v>117</v>
      </c>
      <c r="O77" s="47" t="s">
        <v>112</v>
      </c>
      <c r="P77" s="47" t="s">
        <v>118</v>
      </c>
      <c r="Q77" s="50"/>
      <c r="R77" s="47" t="s">
        <v>389</v>
      </c>
    </row>
    <row r="78" spans="1:18" ht="12.75">
      <c r="A78" s="194"/>
      <c r="B78" s="47" t="s">
        <v>119</v>
      </c>
      <c r="C78" s="48" t="s">
        <v>120</v>
      </c>
      <c r="D78" s="47" t="s">
        <v>18</v>
      </c>
      <c r="E78" s="52">
        <f t="shared" si="8"/>
        <v>24.576</v>
      </c>
      <c r="F78" s="52">
        <f t="shared" si="9"/>
        <v>24.576</v>
      </c>
      <c r="G78" s="50">
        <v>1024</v>
      </c>
      <c r="H78" s="50">
        <v>1024</v>
      </c>
      <c r="I78" s="47">
        <v>24</v>
      </c>
      <c r="J78" s="49">
        <f t="shared" si="6"/>
        <v>1.048576</v>
      </c>
      <c r="K78" s="47"/>
      <c r="L78" s="47"/>
      <c r="M78" s="47">
        <v>16</v>
      </c>
      <c r="N78" s="47" t="s">
        <v>121</v>
      </c>
      <c r="O78" s="47" t="s">
        <v>122</v>
      </c>
      <c r="P78" s="47" t="s">
        <v>123</v>
      </c>
      <c r="Q78" s="50"/>
      <c r="R78" s="47" t="s">
        <v>390</v>
      </c>
    </row>
    <row r="79" spans="1:18" ht="12.75">
      <c r="A79" s="194"/>
      <c r="B79" s="47" t="s">
        <v>124</v>
      </c>
      <c r="C79" s="48" t="s">
        <v>125</v>
      </c>
      <c r="D79" s="47" t="s">
        <v>18</v>
      </c>
      <c r="E79" s="52">
        <f t="shared" si="8"/>
        <v>36.072</v>
      </c>
      <c r="F79" s="52">
        <f t="shared" si="9"/>
        <v>24.048000000000002</v>
      </c>
      <c r="G79" s="50">
        <v>4008</v>
      </c>
      <c r="H79" s="50">
        <v>2672</v>
      </c>
      <c r="I79" s="47">
        <v>9</v>
      </c>
      <c r="J79" s="49">
        <f t="shared" si="6"/>
        <v>10.709375999999999</v>
      </c>
      <c r="K79" s="47"/>
      <c r="L79" s="47"/>
      <c r="M79" s="47">
        <v>16</v>
      </c>
      <c r="N79" s="47" t="s">
        <v>126</v>
      </c>
      <c r="O79" s="47" t="s">
        <v>127</v>
      </c>
      <c r="P79" s="47" t="s">
        <v>128</v>
      </c>
      <c r="Q79" s="50"/>
      <c r="R79" s="47" t="s">
        <v>390</v>
      </c>
    </row>
    <row r="80" spans="1:18" ht="12.75">
      <c r="A80" s="194"/>
      <c r="B80" s="47" t="s">
        <v>129</v>
      </c>
      <c r="C80" s="48" t="s">
        <v>130</v>
      </c>
      <c r="D80" s="47" t="s">
        <v>18</v>
      </c>
      <c r="E80" s="52">
        <f t="shared" si="8"/>
        <v>15.1552</v>
      </c>
      <c r="F80" s="52">
        <f t="shared" si="9"/>
        <v>15.1552</v>
      </c>
      <c r="G80" s="50">
        <v>2048</v>
      </c>
      <c r="H80" s="50">
        <v>2048</v>
      </c>
      <c r="I80" s="47">
        <v>7.4</v>
      </c>
      <c r="J80" s="49">
        <f t="shared" si="6"/>
        <v>4.194304</v>
      </c>
      <c r="K80" s="47"/>
      <c r="L80" s="47"/>
      <c r="M80" s="47">
        <v>16</v>
      </c>
      <c r="N80" s="47" t="s">
        <v>111</v>
      </c>
      <c r="O80" s="47" t="s">
        <v>131</v>
      </c>
      <c r="P80" s="47" t="s">
        <v>132</v>
      </c>
      <c r="Q80" s="50"/>
      <c r="R80" s="47" t="s">
        <v>390</v>
      </c>
    </row>
    <row r="81" spans="1:18" ht="12.75">
      <c r="A81" s="194"/>
      <c r="B81" s="47" t="s">
        <v>133</v>
      </c>
      <c r="C81" s="48" t="s">
        <v>134</v>
      </c>
      <c r="D81" s="47" t="s">
        <v>18</v>
      </c>
      <c r="E81" s="52">
        <f t="shared" si="8"/>
        <v>27.54</v>
      </c>
      <c r="F81" s="52">
        <f t="shared" si="9"/>
        <v>18.36</v>
      </c>
      <c r="G81" s="50">
        <v>3060</v>
      </c>
      <c r="H81" s="50">
        <v>2040</v>
      </c>
      <c r="I81" s="47">
        <v>9</v>
      </c>
      <c r="J81" s="49">
        <f t="shared" si="6"/>
        <v>6.2424</v>
      </c>
      <c r="K81" s="47"/>
      <c r="L81" s="47"/>
      <c r="M81" s="47">
        <v>16</v>
      </c>
      <c r="N81" s="47" t="s">
        <v>135</v>
      </c>
      <c r="O81" s="47" t="s">
        <v>112</v>
      </c>
      <c r="P81" s="47" t="s">
        <v>136</v>
      </c>
      <c r="Q81" s="50"/>
      <c r="R81" s="47" t="s">
        <v>390</v>
      </c>
    </row>
    <row r="82" spans="1:18" ht="12.75">
      <c r="A82" s="194"/>
      <c r="B82" s="47" t="s">
        <v>137</v>
      </c>
      <c r="C82" s="48" t="s">
        <v>138</v>
      </c>
      <c r="D82" s="47" t="s">
        <v>18</v>
      </c>
      <c r="E82" s="52">
        <f t="shared" si="8"/>
        <v>36.864000000000004</v>
      </c>
      <c r="F82" s="52">
        <f t="shared" si="9"/>
        <v>36.864000000000004</v>
      </c>
      <c r="G82" s="50">
        <v>4096</v>
      </c>
      <c r="H82" s="50">
        <v>4096</v>
      </c>
      <c r="I82" s="47">
        <v>9</v>
      </c>
      <c r="J82" s="49">
        <f t="shared" si="6"/>
        <v>16.777216</v>
      </c>
      <c r="K82" s="47"/>
      <c r="L82" s="47"/>
      <c r="M82" s="47">
        <v>16</v>
      </c>
      <c r="N82" s="47" t="s">
        <v>139</v>
      </c>
      <c r="O82" s="47" t="s">
        <v>140</v>
      </c>
      <c r="P82" s="47" t="s">
        <v>141</v>
      </c>
      <c r="Q82" s="50"/>
      <c r="R82" s="47" t="s">
        <v>391</v>
      </c>
    </row>
    <row r="83" spans="1:18" ht="12.75">
      <c r="A83" s="194"/>
      <c r="B83" s="53" t="s">
        <v>142</v>
      </c>
      <c r="C83" s="54" t="s">
        <v>143</v>
      </c>
      <c r="D83" s="53" t="s">
        <v>18</v>
      </c>
      <c r="E83" s="55">
        <f t="shared" si="8"/>
        <v>4.861800000000001</v>
      </c>
      <c r="F83" s="55">
        <f t="shared" si="9"/>
        <v>3.6630000000000003</v>
      </c>
      <c r="G83" s="56">
        <v>657</v>
      </c>
      <c r="H83" s="56">
        <v>495</v>
      </c>
      <c r="I83" s="53">
        <v>7.4</v>
      </c>
      <c r="J83" s="57">
        <f t="shared" si="6"/>
        <v>0.325215</v>
      </c>
      <c r="K83" s="53"/>
      <c r="L83" s="53"/>
      <c r="M83" s="53">
        <v>16</v>
      </c>
      <c r="N83" s="53" t="s">
        <v>81</v>
      </c>
      <c r="O83" s="53" t="s">
        <v>144</v>
      </c>
      <c r="P83" s="53" t="s">
        <v>102</v>
      </c>
      <c r="Q83" s="56"/>
      <c r="R83" s="53"/>
    </row>
    <row r="84" spans="1:18" ht="12.75">
      <c r="A84" s="194" t="s">
        <v>145</v>
      </c>
      <c r="B84" s="79" t="s">
        <v>146</v>
      </c>
      <c r="C84" s="80" t="s">
        <v>147</v>
      </c>
      <c r="D84" s="79" t="s">
        <v>18</v>
      </c>
      <c r="E84" s="81">
        <f t="shared" si="8"/>
        <v>13.77</v>
      </c>
      <c r="F84" s="81">
        <f t="shared" si="9"/>
        <v>9.18</v>
      </c>
      <c r="G84" s="82">
        <v>1530</v>
      </c>
      <c r="H84" s="82">
        <v>1020</v>
      </c>
      <c r="I84" s="79">
        <v>9</v>
      </c>
      <c r="J84" s="83">
        <f t="shared" si="6"/>
        <v>1.5606</v>
      </c>
      <c r="K84" s="79"/>
      <c r="L84" s="79"/>
      <c r="M84" s="79">
        <v>16</v>
      </c>
      <c r="N84" s="79" t="s">
        <v>148</v>
      </c>
      <c r="O84" s="79" t="s">
        <v>149</v>
      </c>
      <c r="P84" s="79" t="s">
        <v>150</v>
      </c>
      <c r="Q84" s="82" t="s">
        <v>84</v>
      </c>
      <c r="R84" s="79"/>
    </row>
    <row r="85" spans="1:18" ht="12.75">
      <c r="A85" s="194"/>
      <c r="B85" s="79" t="s">
        <v>151</v>
      </c>
      <c r="C85" s="80" t="s">
        <v>152</v>
      </c>
      <c r="D85" s="79" t="s">
        <v>18</v>
      </c>
      <c r="E85" s="81">
        <f t="shared" si="8"/>
        <v>14.851199999999999</v>
      </c>
      <c r="F85" s="81">
        <f t="shared" si="9"/>
        <v>10.0096</v>
      </c>
      <c r="G85" s="82">
        <v>2184</v>
      </c>
      <c r="H85" s="82">
        <v>1472</v>
      </c>
      <c r="I85" s="79">
        <v>6.8</v>
      </c>
      <c r="J85" s="83">
        <f t="shared" si="6"/>
        <v>3.2148479999999995</v>
      </c>
      <c r="K85" s="79"/>
      <c r="L85" s="79"/>
      <c r="M85" s="79">
        <v>16</v>
      </c>
      <c r="N85" s="79" t="s">
        <v>61</v>
      </c>
      <c r="O85" s="79" t="s">
        <v>153</v>
      </c>
      <c r="P85" s="79" t="s">
        <v>154</v>
      </c>
      <c r="Q85" s="82" t="s">
        <v>75</v>
      </c>
      <c r="R85" s="79"/>
    </row>
    <row r="86" spans="1:18" ht="12.75">
      <c r="A86" s="194"/>
      <c r="B86" s="79" t="s">
        <v>155</v>
      </c>
      <c r="C86" s="80" t="s">
        <v>156</v>
      </c>
      <c r="D86" s="79" t="s">
        <v>18</v>
      </c>
      <c r="E86" s="81">
        <f t="shared" si="8"/>
        <v>27.648</v>
      </c>
      <c r="F86" s="81">
        <f t="shared" si="9"/>
        <v>18.432000000000002</v>
      </c>
      <c r="G86" s="82">
        <v>3072</v>
      </c>
      <c r="H86" s="82">
        <v>2048</v>
      </c>
      <c r="I86" s="79">
        <v>9</v>
      </c>
      <c r="J86" s="83">
        <f t="shared" si="6"/>
        <v>6.291456</v>
      </c>
      <c r="K86" s="79"/>
      <c r="L86" s="79"/>
      <c r="M86" s="79">
        <v>16</v>
      </c>
      <c r="N86" s="79" t="s">
        <v>148</v>
      </c>
      <c r="O86" s="79" t="s">
        <v>157</v>
      </c>
      <c r="P86" s="79" t="s">
        <v>158</v>
      </c>
      <c r="Q86" s="82" t="s">
        <v>84</v>
      </c>
      <c r="R86" s="79"/>
    </row>
    <row r="87" spans="1:18" ht="12.75">
      <c r="A87" s="194"/>
      <c r="B87" s="79" t="s">
        <v>159</v>
      </c>
      <c r="C87" s="80" t="s">
        <v>160</v>
      </c>
      <c r="D87" s="79" t="s">
        <v>18</v>
      </c>
      <c r="E87" s="81">
        <f t="shared" si="8"/>
        <v>11.84</v>
      </c>
      <c r="F87" s="81">
        <f t="shared" si="9"/>
        <v>8.88</v>
      </c>
      <c r="G87" s="82">
        <v>1600</v>
      </c>
      <c r="H87" s="82">
        <v>1200</v>
      </c>
      <c r="I87" s="79">
        <v>7.4</v>
      </c>
      <c r="J87" s="83">
        <f t="shared" si="6"/>
        <v>1.92</v>
      </c>
      <c r="K87" s="79"/>
      <c r="L87" s="79"/>
      <c r="M87" s="79">
        <v>16</v>
      </c>
      <c r="N87" s="79"/>
      <c r="O87" s="79" t="s">
        <v>68</v>
      </c>
      <c r="P87" s="79"/>
      <c r="Q87" s="82" t="s">
        <v>31</v>
      </c>
      <c r="R87" s="79"/>
    </row>
    <row r="88" spans="1:18" ht="12.75">
      <c r="A88" s="194"/>
      <c r="B88" s="79" t="s">
        <v>161</v>
      </c>
      <c r="C88" s="80" t="s">
        <v>162</v>
      </c>
      <c r="D88" s="79" t="s">
        <v>18</v>
      </c>
      <c r="E88" s="81">
        <f t="shared" si="8"/>
        <v>15.1552</v>
      </c>
      <c r="F88" s="81">
        <f t="shared" si="9"/>
        <v>15.1552</v>
      </c>
      <c r="G88" s="82">
        <v>2048</v>
      </c>
      <c r="H88" s="82">
        <v>2048</v>
      </c>
      <c r="I88" s="79">
        <v>7.4</v>
      </c>
      <c r="J88" s="83">
        <f t="shared" si="6"/>
        <v>4.194304</v>
      </c>
      <c r="K88" s="79"/>
      <c r="L88" s="79"/>
      <c r="M88" s="79">
        <v>16</v>
      </c>
      <c r="N88" s="79"/>
      <c r="O88" s="79" t="s">
        <v>68</v>
      </c>
      <c r="P88" s="79"/>
      <c r="Q88" s="82" t="s">
        <v>31</v>
      </c>
      <c r="R88" s="79"/>
    </row>
    <row r="89" spans="1:18" ht="12.75">
      <c r="A89" s="194"/>
      <c r="B89" s="84" t="s">
        <v>163</v>
      </c>
      <c r="C89" s="85" t="s">
        <v>164</v>
      </c>
      <c r="D89" s="84" t="s">
        <v>18</v>
      </c>
      <c r="E89" s="86">
        <f t="shared" si="8"/>
        <v>17.960400000000003</v>
      </c>
      <c r="F89" s="86">
        <f t="shared" si="9"/>
        <v>13.521600000000001</v>
      </c>
      <c r="G89" s="87">
        <v>3326</v>
      </c>
      <c r="H89" s="87">
        <v>2504</v>
      </c>
      <c r="I89" s="84">
        <v>5.4</v>
      </c>
      <c r="J89" s="88">
        <f t="shared" si="6"/>
        <v>8.328304</v>
      </c>
      <c r="K89" s="84"/>
      <c r="L89" s="84"/>
      <c r="M89" s="84">
        <v>16</v>
      </c>
      <c r="N89" s="84" t="s">
        <v>139</v>
      </c>
      <c r="O89" s="84" t="s">
        <v>165</v>
      </c>
      <c r="P89" s="84" t="s">
        <v>166</v>
      </c>
      <c r="Q89" s="87" t="s">
        <v>167</v>
      </c>
      <c r="R89" s="84"/>
    </row>
    <row r="90" spans="1:18" ht="12.75">
      <c r="A90" s="194" t="s">
        <v>168</v>
      </c>
      <c r="B90" s="62" t="s">
        <v>169</v>
      </c>
      <c r="C90" s="63" t="s">
        <v>40</v>
      </c>
      <c r="D90" s="62" t="s">
        <v>18</v>
      </c>
      <c r="E90" s="64">
        <f t="shared" si="8"/>
        <v>4.884</v>
      </c>
      <c r="F90" s="64">
        <f t="shared" si="9"/>
        <v>3.6556000000000006</v>
      </c>
      <c r="G90" s="65">
        <v>660</v>
      </c>
      <c r="H90" s="65">
        <v>494</v>
      </c>
      <c r="I90" s="62">
        <v>7.4</v>
      </c>
      <c r="J90" s="66">
        <f t="shared" si="6"/>
        <v>0.32604</v>
      </c>
      <c r="K90" s="65"/>
      <c r="L90" s="62"/>
      <c r="M90" s="62">
        <v>16</v>
      </c>
      <c r="N90" s="62" t="s">
        <v>170</v>
      </c>
      <c r="O90" s="62" t="s">
        <v>171</v>
      </c>
      <c r="P90" s="62" t="s">
        <v>172</v>
      </c>
      <c r="Q90" s="65" t="s">
        <v>173</v>
      </c>
      <c r="R90" s="62" t="s">
        <v>174</v>
      </c>
    </row>
    <row r="91" spans="1:18" ht="12.75">
      <c r="A91" s="194"/>
      <c r="B91" s="62" t="s">
        <v>175</v>
      </c>
      <c r="C91" s="63" t="s">
        <v>17</v>
      </c>
      <c r="D91" s="62" t="s">
        <v>18</v>
      </c>
      <c r="E91" s="64">
        <f t="shared" si="8"/>
        <v>8.9784</v>
      </c>
      <c r="F91" s="64">
        <f t="shared" si="9"/>
        <v>6.708</v>
      </c>
      <c r="G91" s="65">
        <v>1392</v>
      </c>
      <c r="H91" s="65">
        <v>1040</v>
      </c>
      <c r="I91" s="62">
        <v>6.45</v>
      </c>
      <c r="J91" s="66">
        <f t="shared" si="6"/>
        <v>1.44768</v>
      </c>
      <c r="K91" s="62"/>
      <c r="L91" s="62"/>
      <c r="M91" s="62">
        <v>16</v>
      </c>
      <c r="N91" s="62" t="s">
        <v>176</v>
      </c>
      <c r="O91" s="62" t="s">
        <v>171</v>
      </c>
      <c r="P91" s="62" t="s">
        <v>177</v>
      </c>
      <c r="Q91" s="65" t="s">
        <v>178</v>
      </c>
      <c r="R91" s="62" t="s">
        <v>174</v>
      </c>
    </row>
    <row r="92" spans="1:18" ht="12.75">
      <c r="A92" s="194"/>
      <c r="B92" s="62" t="s">
        <v>179</v>
      </c>
      <c r="C92" s="63" t="s">
        <v>180</v>
      </c>
      <c r="D92" s="62" t="s">
        <v>18</v>
      </c>
      <c r="E92" s="64">
        <f t="shared" si="8"/>
        <v>15.1552</v>
      </c>
      <c r="F92" s="64">
        <f t="shared" si="9"/>
        <v>15.1552</v>
      </c>
      <c r="G92" s="65">
        <v>2048</v>
      </c>
      <c r="H92" s="65">
        <v>2048</v>
      </c>
      <c r="I92" s="62">
        <v>7.4</v>
      </c>
      <c r="J92" s="66">
        <f t="shared" si="6"/>
        <v>4.194304</v>
      </c>
      <c r="K92" s="62"/>
      <c r="L92" s="62"/>
      <c r="M92" s="62">
        <v>16</v>
      </c>
      <c r="N92" s="62" t="s">
        <v>181</v>
      </c>
      <c r="O92" s="62" t="s">
        <v>182</v>
      </c>
      <c r="P92" s="62" t="s">
        <v>183</v>
      </c>
      <c r="Q92" s="65" t="s">
        <v>31</v>
      </c>
      <c r="R92" s="62" t="s">
        <v>184</v>
      </c>
    </row>
    <row r="93" spans="1:18" ht="12.75">
      <c r="A93" s="194"/>
      <c r="B93" s="62" t="s">
        <v>185</v>
      </c>
      <c r="C93" s="63" t="s">
        <v>25</v>
      </c>
      <c r="D93" s="62" t="s">
        <v>18</v>
      </c>
      <c r="E93" s="64">
        <f t="shared" si="8"/>
        <v>17.960400000000003</v>
      </c>
      <c r="F93" s="64">
        <f t="shared" si="9"/>
        <v>13.521600000000001</v>
      </c>
      <c r="G93" s="65">
        <v>3326</v>
      </c>
      <c r="H93" s="65">
        <v>2504</v>
      </c>
      <c r="I93" s="62">
        <v>5.4</v>
      </c>
      <c r="J93" s="66">
        <f t="shared" si="6"/>
        <v>8.328304</v>
      </c>
      <c r="K93" s="62"/>
      <c r="L93" s="62"/>
      <c r="M93" s="62">
        <v>16</v>
      </c>
      <c r="N93" s="62" t="s">
        <v>186</v>
      </c>
      <c r="O93" s="62" t="s">
        <v>182</v>
      </c>
      <c r="P93" s="62" t="s">
        <v>187</v>
      </c>
      <c r="Q93" s="65" t="s">
        <v>167</v>
      </c>
      <c r="R93" s="62" t="s">
        <v>184</v>
      </c>
    </row>
    <row r="94" spans="1:18" ht="12.75">
      <c r="A94" s="194"/>
      <c r="B94" s="62" t="s">
        <v>188</v>
      </c>
      <c r="C94" s="63" t="s">
        <v>125</v>
      </c>
      <c r="D94" s="62" t="s">
        <v>18</v>
      </c>
      <c r="E94" s="64">
        <f t="shared" si="8"/>
        <v>36.072</v>
      </c>
      <c r="F94" s="64">
        <f t="shared" si="9"/>
        <v>24.048000000000002</v>
      </c>
      <c r="G94" s="65">
        <v>4008</v>
      </c>
      <c r="H94" s="65">
        <v>2672</v>
      </c>
      <c r="I94" s="62">
        <v>9</v>
      </c>
      <c r="J94" s="66">
        <f t="shared" si="6"/>
        <v>10.709375999999999</v>
      </c>
      <c r="K94" s="62"/>
      <c r="L94" s="62"/>
      <c r="M94" s="62">
        <v>16</v>
      </c>
      <c r="N94" s="62" t="s">
        <v>189</v>
      </c>
      <c r="O94" s="62" t="s">
        <v>190</v>
      </c>
      <c r="P94" s="62" t="s">
        <v>191</v>
      </c>
      <c r="Q94" s="65" t="s">
        <v>192</v>
      </c>
      <c r="R94" s="62" t="s">
        <v>184</v>
      </c>
    </row>
    <row r="95" spans="1:18" ht="12.75">
      <c r="A95" s="194"/>
      <c r="B95" s="62" t="s">
        <v>193</v>
      </c>
      <c r="C95" s="63" t="s">
        <v>194</v>
      </c>
      <c r="D95" s="62" t="s">
        <v>18</v>
      </c>
      <c r="E95" s="64">
        <f t="shared" si="8"/>
        <v>36.2896</v>
      </c>
      <c r="F95" s="64">
        <f t="shared" si="9"/>
        <v>24.272000000000002</v>
      </c>
      <c r="G95" s="65">
        <v>4904</v>
      </c>
      <c r="H95" s="65">
        <v>3280</v>
      </c>
      <c r="I95" s="62">
        <v>7.4</v>
      </c>
      <c r="J95" s="66">
        <f t="shared" si="6"/>
        <v>16.08512</v>
      </c>
      <c r="K95" s="62"/>
      <c r="L95" s="62"/>
      <c r="M95" s="62">
        <v>16</v>
      </c>
      <c r="N95" s="62" t="s">
        <v>195</v>
      </c>
      <c r="O95" s="62" t="s">
        <v>182</v>
      </c>
      <c r="P95" s="62" t="s">
        <v>132</v>
      </c>
      <c r="Q95" s="65" t="s">
        <v>173</v>
      </c>
      <c r="R95" s="62" t="s">
        <v>184</v>
      </c>
    </row>
    <row r="96" spans="1:18" ht="12.75">
      <c r="A96" s="194"/>
      <c r="B96" s="74" t="s">
        <v>196</v>
      </c>
      <c r="C96" s="75" t="s">
        <v>197</v>
      </c>
      <c r="D96" s="74" t="s">
        <v>18</v>
      </c>
      <c r="E96" s="76">
        <f>G96*0.0082</f>
        <v>6.1664</v>
      </c>
      <c r="F96" s="76">
        <f>H96*0.0084</f>
        <v>4.872</v>
      </c>
      <c r="G96" s="77">
        <v>752</v>
      </c>
      <c r="H96" s="77">
        <v>580</v>
      </c>
      <c r="I96" s="74" t="s">
        <v>198</v>
      </c>
      <c r="J96" s="78">
        <f t="shared" si="6"/>
        <v>0.43616</v>
      </c>
      <c r="K96" s="74"/>
      <c r="L96" s="74"/>
      <c r="M96" s="74">
        <v>16</v>
      </c>
      <c r="N96" s="74" t="s">
        <v>189</v>
      </c>
      <c r="O96" s="74" t="s">
        <v>199</v>
      </c>
      <c r="P96" s="74" t="s">
        <v>200</v>
      </c>
      <c r="Q96" s="77" t="s">
        <v>192</v>
      </c>
      <c r="R96" s="74"/>
    </row>
    <row r="97" spans="1:18" ht="12.75">
      <c r="A97" s="194" t="s">
        <v>201</v>
      </c>
      <c r="B97" s="47" t="s">
        <v>202</v>
      </c>
      <c r="C97" s="48" t="s">
        <v>203</v>
      </c>
      <c r="D97" s="47" t="s">
        <v>18</v>
      </c>
      <c r="E97" s="52">
        <f>G97*I97*0.001</f>
        <v>3.584</v>
      </c>
      <c r="F97" s="52">
        <f>H97*I97*0.001</f>
        <v>2.688</v>
      </c>
      <c r="G97" s="50">
        <v>640</v>
      </c>
      <c r="H97" s="50">
        <v>480</v>
      </c>
      <c r="I97" s="47">
        <v>5.6</v>
      </c>
      <c r="J97" s="49">
        <f aca="true" t="shared" si="10" ref="J97:J102">0.000001*G97*H97</f>
        <v>0.3072</v>
      </c>
      <c r="K97" s="47">
        <v>60</v>
      </c>
      <c r="L97" s="47"/>
      <c r="M97" s="47">
        <v>8</v>
      </c>
      <c r="N97" s="47"/>
      <c r="O97" s="47"/>
      <c r="P97" s="47"/>
      <c r="Q97" s="50"/>
      <c r="R97" s="47"/>
    </row>
    <row r="98" spans="1:18" ht="12.75" customHeight="1">
      <c r="A98" s="194"/>
      <c r="B98" s="47" t="s">
        <v>204</v>
      </c>
      <c r="C98" s="48" t="s">
        <v>205</v>
      </c>
      <c r="D98" s="47" t="s">
        <v>18</v>
      </c>
      <c r="E98" s="52">
        <f>G98*I98*0.001</f>
        <v>4.7616000000000005</v>
      </c>
      <c r="F98" s="52">
        <f>H98*I98*0.001</f>
        <v>3.5712</v>
      </c>
      <c r="G98" s="50">
        <v>1024</v>
      </c>
      <c r="H98" s="50">
        <v>768</v>
      </c>
      <c r="I98" s="47">
        <v>4.65</v>
      </c>
      <c r="J98" s="49">
        <f t="shared" si="10"/>
        <v>0.786432</v>
      </c>
      <c r="K98" s="47">
        <v>30</v>
      </c>
      <c r="L98" s="47"/>
      <c r="M98" s="47">
        <v>8</v>
      </c>
      <c r="N98" s="47"/>
      <c r="O98" s="47"/>
      <c r="P98" s="47"/>
      <c r="Q98" s="50"/>
      <c r="R98" s="47"/>
    </row>
    <row r="99" spans="1:18" ht="12.75" customHeight="1">
      <c r="A99" s="194"/>
      <c r="B99" s="47" t="s">
        <v>206</v>
      </c>
      <c r="C99" s="48" t="s">
        <v>57</v>
      </c>
      <c r="D99" s="47" t="s">
        <v>18</v>
      </c>
      <c r="E99" s="52">
        <f>G99*I99*0.001</f>
        <v>5.952</v>
      </c>
      <c r="F99" s="52">
        <f>H99*I99*0.001</f>
        <v>4.464</v>
      </c>
      <c r="G99" s="50">
        <v>1280</v>
      </c>
      <c r="H99" s="50">
        <v>960</v>
      </c>
      <c r="I99" s="47">
        <v>4.65</v>
      </c>
      <c r="J99" s="49">
        <f t="shared" si="10"/>
        <v>1.2288</v>
      </c>
      <c r="K99" s="47">
        <v>15</v>
      </c>
      <c r="L99" s="47"/>
      <c r="M99" s="47">
        <v>8</v>
      </c>
      <c r="N99" s="47"/>
      <c r="O99" s="47"/>
      <c r="P99" s="47"/>
      <c r="Q99" s="50"/>
      <c r="R99" s="47"/>
    </row>
    <row r="100" spans="1:18" ht="12.75" customHeight="1">
      <c r="A100" s="194"/>
      <c r="B100" s="47" t="s">
        <v>207</v>
      </c>
      <c r="C100" s="48" t="s">
        <v>51</v>
      </c>
      <c r="D100" s="47" t="s">
        <v>18</v>
      </c>
      <c r="E100" s="52">
        <f>G100*I100*0.001</f>
        <v>7.040000000000001</v>
      </c>
      <c r="F100" s="52">
        <f>H100*I100*0.001</f>
        <v>5.28</v>
      </c>
      <c r="G100" s="50">
        <v>1600</v>
      </c>
      <c r="H100" s="50">
        <v>1200</v>
      </c>
      <c r="I100" s="47">
        <v>4.4</v>
      </c>
      <c r="J100" s="49">
        <f t="shared" si="10"/>
        <v>1.92</v>
      </c>
      <c r="K100" s="47">
        <v>12</v>
      </c>
      <c r="L100" s="47"/>
      <c r="M100" s="47">
        <v>8</v>
      </c>
      <c r="N100" s="47"/>
      <c r="O100" s="47"/>
      <c r="P100" s="47"/>
      <c r="Q100" s="50"/>
      <c r="R100" s="47"/>
    </row>
    <row r="101" spans="1:18" ht="12.75">
      <c r="A101" s="5" t="s">
        <v>208</v>
      </c>
      <c r="B101" s="135" t="s">
        <v>209</v>
      </c>
      <c r="C101" s="48" t="s">
        <v>210</v>
      </c>
      <c r="D101" s="47" t="s">
        <v>211</v>
      </c>
      <c r="E101" s="52">
        <f>G101*I101*0.001</f>
        <v>6.656000000000001</v>
      </c>
      <c r="F101" s="52">
        <f>H101*I101*0.001</f>
        <v>5.324800000000001</v>
      </c>
      <c r="G101" s="50">
        <v>1280</v>
      </c>
      <c r="H101" s="47">
        <v>1024</v>
      </c>
      <c r="I101" s="47">
        <v>5.2</v>
      </c>
      <c r="J101" s="49">
        <f t="shared" si="10"/>
        <v>1.3107199999999999</v>
      </c>
      <c r="K101" s="47">
        <v>15</v>
      </c>
      <c r="L101" s="47"/>
      <c r="M101" s="47">
        <v>8</v>
      </c>
      <c r="N101" s="47"/>
      <c r="O101" s="47"/>
      <c r="P101" s="47"/>
      <c r="Q101" s="50"/>
      <c r="R101" s="47"/>
    </row>
    <row r="102" spans="1:18" ht="12.75">
      <c r="A102" s="1" t="s">
        <v>470</v>
      </c>
      <c r="B102" s="136" t="s">
        <v>471</v>
      </c>
      <c r="C102" s="51"/>
      <c r="D102" s="139" t="s">
        <v>476</v>
      </c>
      <c r="E102" s="52">
        <f>'Champ - Echantillonnage'!E25</f>
        <v>36</v>
      </c>
      <c r="F102" s="52">
        <f>'Champ - Echantillonnage'!F25</f>
        <v>24</v>
      </c>
      <c r="G102" s="137">
        <f>ROUND(E102*1000/I102,0)</f>
        <v>4000</v>
      </c>
      <c r="H102" s="138">
        <f>ROUND(F102*1000/I102,0)</f>
        <v>2667</v>
      </c>
      <c r="I102" s="137">
        <f>'Champ - Echantillonnage'!G25</f>
        <v>9</v>
      </c>
      <c r="J102" s="49">
        <f t="shared" si="10"/>
        <v>10.668000000000001</v>
      </c>
      <c r="K102" s="51"/>
      <c r="L102" s="51"/>
      <c r="M102" s="51"/>
      <c r="N102" s="51"/>
      <c r="O102" s="51"/>
      <c r="P102" s="51"/>
      <c r="Q102" s="51"/>
      <c r="R102" s="51"/>
    </row>
    <row r="103" spans="2:18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A104" s="25" t="s">
        <v>334</v>
      </c>
    </row>
    <row r="105" ht="12.75">
      <c r="A105" s="1" t="s">
        <v>15</v>
      </c>
    </row>
    <row r="106" ht="12.75">
      <c r="A106" s="1" t="s">
        <v>42</v>
      </c>
    </row>
    <row r="107" ht="12.75">
      <c r="A107" s="1" t="s">
        <v>303</v>
      </c>
    </row>
    <row r="108" ht="12.75">
      <c r="A108" s="1" t="s">
        <v>53</v>
      </c>
    </row>
    <row r="109" ht="12.75">
      <c r="A109" s="1" t="s">
        <v>339</v>
      </c>
    </row>
    <row r="110" ht="12.75">
      <c r="A110" s="1" t="s">
        <v>59</v>
      </c>
    </row>
    <row r="111" ht="12.75">
      <c r="A111" s="1" t="s">
        <v>87</v>
      </c>
    </row>
    <row r="112" ht="12.75">
      <c r="A112" s="1" t="s">
        <v>145</v>
      </c>
    </row>
    <row r="113" ht="12.75">
      <c r="A113" s="1" t="s">
        <v>464</v>
      </c>
    </row>
    <row r="114" ht="12.75">
      <c r="A114" s="1" t="s">
        <v>465</v>
      </c>
    </row>
    <row r="115" ht="12.75">
      <c r="A115" s="1" t="s">
        <v>208</v>
      </c>
    </row>
    <row r="116" ht="12.75">
      <c r="A116" s="1" t="s">
        <v>474</v>
      </c>
    </row>
  </sheetData>
  <sheetProtection/>
  <mergeCells count="10">
    <mergeCell ref="A40:A62"/>
    <mergeCell ref="A97:A100"/>
    <mergeCell ref="A63:A68"/>
    <mergeCell ref="A69:A83"/>
    <mergeCell ref="A84:A89"/>
    <mergeCell ref="A90:A96"/>
    <mergeCell ref="A2:A8"/>
    <mergeCell ref="A9:A11"/>
    <mergeCell ref="A12:A36"/>
    <mergeCell ref="A37:A39"/>
  </mergeCells>
  <printOptions/>
  <pageMargins left="0.75" right="0.75" top="1" bottom="1" header="0.4921259845" footer="0.4921259845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yenapas</dc:creator>
  <cp:keywords/>
  <dc:description/>
  <cp:lastModifiedBy>vincent</cp:lastModifiedBy>
  <dcterms:created xsi:type="dcterms:W3CDTF">2011-05-19T09:09:54Z</dcterms:created>
  <dcterms:modified xsi:type="dcterms:W3CDTF">2011-05-23T13:18:22Z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